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400" windowHeight="12795" activeTab="0"/>
  </bookViews>
  <sheets>
    <sheet name="покупка 2021" sheetId="1" r:id="rId1"/>
  </sheets>
  <definedNames/>
  <calcPr fullCalcOnLoad="1"/>
</workbook>
</file>

<file path=xl/sharedStrings.xml><?xml version="1.0" encoding="utf-8"?>
<sst xmlns="http://schemas.openxmlformats.org/spreadsheetml/2006/main" count="247" uniqueCount="27">
  <si>
    <t>Гарантирующие поставщики</t>
  </si>
  <si>
    <t>Уровень напряжения</t>
  </si>
  <si>
    <t>Категория потребителей</t>
  </si>
  <si>
    <t>Кол-во, кВт*ч</t>
  </si>
  <si>
    <t>Цена, руб</t>
  </si>
  <si>
    <t>Стоимость (без НДС), руб</t>
  </si>
  <si>
    <t>По тарифам для прочих потребителей</t>
  </si>
  <si>
    <t>По тарифам для населения и приравненных к ним групп потребителей</t>
  </si>
  <si>
    <t>НН</t>
  </si>
  <si>
    <t>СН II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</si>
  <si>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</si>
  <si>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</si>
  <si>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</si>
  <si>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</si>
  <si>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</si>
  <si>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</si>
  <si>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</si>
  <si>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</si>
  <si>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</si>
  <si>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</si>
  <si>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</si>
  <si>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</si>
  <si>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</si>
  <si>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ООО "Энергосбытовая компания "Энергостандарт"</t>
  </si>
  <si>
    <t>ПАО "ТНС энерго Ростов-на-Дону"</t>
  </si>
  <si>
    <t>Информация об объемах покупки электрической энергии (мощности) на розничном рынке электрической энергии  в 2021г.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</si>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</sst>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0&quot;р.&quot;"/>
    <numFmt numFmtId="181" formatCode="0.0000000000"/>
    <numFmt numFmtId="182" formatCode="0.000000000"/>
    <numFmt numFmtId="183" formatCode="0.000000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24" borderId="0" xfId="0" applyFill="1" applyAlignment="1">
      <alignment/>
    </xf>
    <xf numFmtId="174" fontId="19" fillId="24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2" fontId="20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24" borderId="0" xfId="0" applyFont="1" applyFill="1" applyAlignment="1">
      <alignment/>
    </xf>
    <xf numFmtId="0" fontId="24" fillId="0" borderId="0" xfId="0" applyFont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4" fontId="19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4" xfId="53" applyFont="1" applyFill="1" applyBorder="1" applyAlignment="1">
      <alignment horizontal="center" vertical="center" wrapText="1"/>
      <protection/>
    </xf>
    <xf numFmtId="0" fontId="20" fillId="24" borderId="15" xfId="53" applyFont="1" applyFill="1" applyBorder="1" applyAlignment="1">
      <alignment horizontal="center" vertical="center" wrapText="1"/>
      <protection/>
    </xf>
    <xf numFmtId="0" fontId="20" fillId="24" borderId="16" xfId="53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опия ЦЭС_2010 итог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5"/>
  <sheetViews>
    <sheetView tabSelected="1" zoomScalePageLayoutView="0" workbookViewId="0" topLeftCell="B1">
      <selection activeCell="R19" sqref="R19"/>
    </sheetView>
  </sheetViews>
  <sheetFormatPr defaultColWidth="9.140625" defaultRowHeight="12.75"/>
  <cols>
    <col min="1" max="1" width="0" style="6" hidden="1" customWidth="1"/>
    <col min="2" max="2" width="16.8515625" style="6" customWidth="1"/>
    <col min="3" max="3" width="12.421875" style="6" customWidth="1"/>
    <col min="4" max="4" width="27.421875" style="6" customWidth="1"/>
    <col min="5" max="6" width="9.140625" style="7" customWidth="1"/>
    <col min="7" max="7" width="12.57421875" style="7" customWidth="1"/>
    <col min="8" max="9" width="9.140625" style="7" customWidth="1"/>
    <col min="10" max="10" width="11.57421875" style="7" customWidth="1"/>
    <col min="11" max="12" width="9.140625" style="7" customWidth="1"/>
    <col min="13" max="13" width="11.8515625" style="7" customWidth="1"/>
    <col min="14" max="15" width="9.140625" style="7" customWidth="1"/>
    <col min="16" max="16" width="12.7109375" style="7" customWidth="1"/>
    <col min="17" max="37" width="9.140625" style="0" customWidth="1"/>
  </cols>
  <sheetData>
    <row r="2" spans="1:16" s="15" customFormat="1" ht="15">
      <c r="A2" s="12"/>
      <c r="B2" s="13" t="s">
        <v>25</v>
      </c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4" ht="12.75">
      <c r="B3" s="9"/>
      <c r="C3" s="9"/>
      <c r="D3" s="9"/>
    </row>
    <row r="4" spans="1:40" s="22" customFormat="1" ht="17.25" customHeight="1">
      <c r="A4" s="21"/>
      <c r="B4" s="38" t="s">
        <v>0</v>
      </c>
      <c r="C4" s="38" t="s">
        <v>1</v>
      </c>
      <c r="D4" s="38" t="s">
        <v>2</v>
      </c>
      <c r="E4" s="30" t="s">
        <v>10</v>
      </c>
      <c r="F4" s="31"/>
      <c r="G4" s="32"/>
      <c r="H4" s="30" t="s">
        <v>11</v>
      </c>
      <c r="I4" s="31"/>
      <c r="J4" s="32"/>
      <c r="K4" s="29" t="s">
        <v>12</v>
      </c>
      <c r="L4" s="29"/>
      <c r="M4" s="29"/>
      <c r="N4" s="29" t="s">
        <v>13</v>
      </c>
      <c r="O4" s="29"/>
      <c r="P4" s="29"/>
      <c r="Q4" s="29" t="s">
        <v>14</v>
      </c>
      <c r="R4" s="29"/>
      <c r="S4" s="29"/>
      <c r="T4" s="29" t="s">
        <v>15</v>
      </c>
      <c r="U4" s="29"/>
      <c r="V4" s="29"/>
      <c r="W4" s="29" t="s">
        <v>16</v>
      </c>
      <c r="X4" s="29"/>
      <c r="Y4" s="29"/>
      <c r="Z4" s="29" t="s">
        <v>17</v>
      </c>
      <c r="AA4" s="29"/>
      <c r="AB4" s="29"/>
      <c r="AC4" s="29" t="s">
        <v>18</v>
      </c>
      <c r="AD4" s="29"/>
      <c r="AE4" s="29"/>
      <c r="AF4" s="29" t="s">
        <v>19</v>
      </c>
      <c r="AG4" s="29"/>
      <c r="AH4" s="29"/>
      <c r="AI4" s="29" t="s">
        <v>20</v>
      </c>
      <c r="AJ4" s="29"/>
      <c r="AK4" s="29"/>
      <c r="AL4" s="29" t="s">
        <v>21</v>
      </c>
      <c r="AM4" s="29"/>
      <c r="AN4" s="29"/>
    </row>
    <row r="5" spans="2:40" ht="38.25">
      <c r="B5" s="38"/>
      <c r="C5" s="38"/>
      <c r="D5" s="38"/>
      <c r="E5" s="8" t="s">
        <v>3</v>
      </c>
      <c r="F5" s="8" t="s">
        <v>4</v>
      </c>
      <c r="G5" s="10" t="s">
        <v>5</v>
      </c>
      <c r="H5" s="8" t="s">
        <v>3</v>
      </c>
      <c r="I5" s="8" t="s">
        <v>4</v>
      </c>
      <c r="J5" s="10" t="s">
        <v>5</v>
      </c>
      <c r="K5" s="16" t="s">
        <v>3</v>
      </c>
      <c r="L5" s="16" t="s">
        <v>4</v>
      </c>
      <c r="M5" s="10" t="s">
        <v>5</v>
      </c>
      <c r="N5" s="16" t="s">
        <v>3</v>
      </c>
      <c r="O5" s="16" t="s">
        <v>4</v>
      </c>
      <c r="P5" s="10" t="s">
        <v>5</v>
      </c>
      <c r="Q5" s="28" t="s">
        <v>3</v>
      </c>
      <c r="R5" s="28" t="s">
        <v>4</v>
      </c>
      <c r="S5" s="10" t="s">
        <v>5</v>
      </c>
      <c r="T5" s="28" t="s">
        <v>3</v>
      </c>
      <c r="U5" s="28" t="s">
        <v>4</v>
      </c>
      <c r="V5" s="10" t="s">
        <v>5</v>
      </c>
      <c r="W5" s="28" t="s">
        <v>3</v>
      </c>
      <c r="X5" s="28" t="s">
        <v>4</v>
      </c>
      <c r="Y5" s="10" t="s">
        <v>5</v>
      </c>
      <c r="Z5" s="28" t="s">
        <v>3</v>
      </c>
      <c r="AA5" s="28" t="s">
        <v>4</v>
      </c>
      <c r="AB5" s="10" t="s">
        <v>5</v>
      </c>
      <c r="AC5" s="28" t="s">
        <v>3</v>
      </c>
      <c r="AD5" s="28" t="s">
        <v>4</v>
      </c>
      <c r="AE5" s="10" t="s">
        <v>5</v>
      </c>
      <c r="AF5" s="28" t="s">
        <v>3</v>
      </c>
      <c r="AG5" s="28" t="s">
        <v>4</v>
      </c>
      <c r="AH5" s="10" t="s">
        <v>5</v>
      </c>
      <c r="AI5" s="28" t="s">
        <v>3</v>
      </c>
      <c r="AJ5" s="28" t="s">
        <v>4</v>
      </c>
      <c r="AK5" s="10" t="s">
        <v>5</v>
      </c>
      <c r="AL5" s="28" t="s">
        <v>3</v>
      </c>
      <c r="AM5" s="28" t="s">
        <v>4</v>
      </c>
      <c r="AN5" s="10" t="s">
        <v>5</v>
      </c>
    </row>
    <row r="6" spans="1:40" s="1" customFormat="1" ht="26.25" customHeight="1">
      <c r="A6" s="7"/>
      <c r="B6" s="33" t="s">
        <v>24</v>
      </c>
      <c r="C6" s="37" t="s">
        <v>9</v>
      </c>
      <c r="D6" s="25" t="s">
        <v>6</v>
      </c>
      <c r="E6" s="27">
        <f>115406</f>
        <v>115406</v>
      </c>
      <c r="F6" s="4">
        <f aca="true" t="shared" si="0" ref="F6:F11">G6/E6</f>
        <v>6.360149992201445</v>
      </c>
      <c r="G6" s="2">
        <f>733999.47</f>
        <v>733999.47</v>
      </c>
      <c r="H6" s="5">
        <f>110195</f>
        <v>110195</v>
      </c>
      <c r="I6" s="4">
        <f>J6/H6</f>
        <v>6.544689958709561</v>
      </c>
      <c r="J6" s="2">
        <v>721192.11</v>
      </c>
      <c r="K6" s="5">
        <f>104198+613525+15120+79803</f>
        <v>812646</v>
      </c>
      <c r="L6" s="17">
        <f aca="true" t="shared" si="1" ref="L6:L11">M6/K6</f>
        <v>6.285417906443889</v>
      </c>
      <c r="M6" s="2">
        <f>657927.01+3873919.56+95740.83+480232.32</f>
        <v>5107819.720000001</v>
      </c>
      <c r="N6" s="3">
        <f>223127+1134183+99600+237210</f>
        <v>1694120</v>
      </c>
      <c r="O6" s="4">
        <f>P6/N6</f>
        <v>6.354721961844498</v>
      </c>
      <c r="P6" s="2">
        <f>1431328.47+7275625.16+629618.17+1429089.77</f>
        <v>10765661.57</v>
      </c>
      <c r="Q6" s="3">
        <f>168449+1051938+14880+128498</f>
        <v>1363765</v>
      </c>
      <c r="R6" s="4">
        <f>S6/Q6</f>
        <v>6.021681565372332</v>
      </c>
      <c r="S6" s="2">
        <f>1020571.85+6373313.64+88731.18+729541.89</f>
        <v>8212158.559999999</v>
      </c>
      <c r="T6" s="3">
        <f>155370+963040+29400+139982</f>
        <v>1287792</v>
      </c>
      <c r="U6" s="4">
        <f>V6/T6</f>
        <v>6.3394333634624225</v>
      </c>
      <c r="V6" s="2">
        <f>995923.25+6173096.03+168151.74+826700.55</f>
        <v>8163871.57</v>
      </c>
      <c r="W6" s="3">
        <f>235011+1247450+15720+142654</f>
        <v>1640835</v>
      </c>
      <c r="X6" s="4">
        <f>Y6/W6</f>
        <v>6.966067039038051</v>
      </c>
      <c r="Y6" s="2">
        <f>1652726.61+8772754.5+105156.09+899529.41</f>
        <v>11430166.61</v>
      </c>
      <c r="Z6" s="3">
        <f>206399+1158047+20520+132871</f>
        <v>1517837</v>
      </c>
      <c r="AA6" s="4">
        <f>AB6/Z6</f>
        <v>7.070786289963943</v>
      </c>
      <c r="AB6" s="2">
        <f>1473507.23+8267436.5+138423.75+852933.57</f>
        <v>10732301.05</v>
      </c>
      <c r="AC6" s="3">
        <f>151514+883511+12340+168349</f>
        <v>1215714</v>
      </c>
      <c r="AD6" s="4">
        <f>AE6/AC6</f>
        <v>6.9030623485457925</v>
      </c>
      <c r="AE6" s="2">
        <f>1051966.25+6134243.38+82613.89+1123326.02</f>
        <v>8392149.54</v>
      </c>
      <c r="AF6" s="3">
        <f>170431+873525+72840+251141</f>
        <v>1367937</v>
      </c>
      <c r="AG6" s="4">
        <f>AH6/AF6</f>
        <v>6.625374955133167</v>
      </c>
      <c r="AH6" s="2">
        <f>1138243.89+5833941.54+477964.3+1612945.81</f>
        <v>9063095.54</v>
      </c>
      <c r="AI6" s="3">
        <f>234257+1201229+132120+349381</f>
        <v>1916987</v>
      </c>
      <c r="AJ6" s="4">
        <f>AK6/AI6</f>
        <v>6.662590820908018</v>
      </c>
      <c r="AK6" s="2">
        <f>1586261.91+8134074.12+870429.83+2181334.13</f>
        <v>12772099.989999998</v>
      </c>
      <c r="AL6" s="3">
        <f>271303+784687+128160+324599</f>
        <v>1508749</v>
      </c>
      <c r="AM6" s="4">
        <f>AN6/AL6</f>
        <v>6.477919024304241</v>
      </c>
      <c r="AN6" s="2">
        <f>1784685.39+5161828.02+835727.96+1991312.48</f>
        <v>9773553.85</v>
      </c>
    </row>
    <row r="7" spans="1:40" s="1" customFormat="1" ht="44.25" customHeight="1">
      <c r="A7" s="7"/>
      <c r="B7" s="34"/>
      <c r="C7" s="37"/>
      <c r="D7" s="25" t="s">
        <v>7</v>
      </c>
      <c r="E7" s="5">
        <f>131465+16465+45231+13947</f>
        <v>207108</v>
      </c>
      <c r="F7" s="4">
        <f t="shared" si="0"/>
        <v>3.6374942542055355</v>
      </c>
      <c r="G7" s="2">
        <f>450267.62+39516+216731.87+46838.67</f>
        <v>753354.16</v>
      </c>
      <c r="H7" s="5">
        <f>125977+15722+46756+11743</f>
        <v>200198</v>
      </c>
      <c r="I7" s="4">
        <f>J7/H7</f>
        <v>3.6597773204527515</v>
      </c>
      <c r="J7" s="2">
        <f>431471.22+37732.8+224039.17+39436.91</f>
        <v>732680.1</v>
      </c>
      <c r="K7" s="5">
        <f>123141+14917+38212+11669</f>
        <v>187939</v>
      </c>
      <c r="L7" s="17">
        <f t="shared" si="1"/>
        <v>3.6173773405200627</v>
      </c>
      <c r="M7" s="2">
        <f>421757.92+35800.8+183099.17+39188.39</f>
        <v>679846.28</v>
      </c>
      <c r="N7" s="3">
        <f>120819+15458+41839+11632</f>
        <v>189748</v>
      </c>
      <c r="O7" s="4">
        <f>P7/N7</f>
        <v>3.6387574045576243</v>
      </c>
      <c r="P7" s="2">
        <f>413805.07+37099.2+200478.54+39064.13</f>
        <v>690446.9400000001</v>
      </c>
      <c r="Q7" s="3">
        <f>113440+15866+24348+7321</f>
        <v>160975</v>
      </c>
      <c r="R7" s="4">
        <f>S7/Q7</f>
        <v>3.5276549774809753</v>
      </c>
      <c r="S7" s="2">
        <f>388532+38078.4+116667.5+24586.36</f>
        <v>567864.26</v>
      </c>
      <c r="T7" s="3">
        <f>111345+14785+31461+9021</f>
        <v>166612</v>
      </c>
      <c r="U7" s="4">
        <f>V7/T7</f>
        <v>3.5884975872086047</v>
      </c>
      <c r="V7" s="2">
        <f>381356.62+35484+150750.62+30295.52</f>
        <v>597886.76</v>
      </c>
      <c r="W7" s="3">
        <f>119223+24766+74278+19491</f>
        <v>237758</v>
      </c>
      <c r="X7" s="4">
        <f>Y7/W7</f>
        <v>3.868541331942563</v>
      </c>
      <c r="Y7" s="2">
        <f>422248.12+61502.23+368295.08+67731.22</f>
        <v>919776.6499999999</v>
      </c>
      <c r="Z7" s="3">
        <f>107683+28731+115451+28803</f>
        <v>280668</v>
      </c>
      <c r="AA7" s="4">
        <f>AB7/Z7</f>
        <v>4.0092240654438696</v>
      </c>
      <c r="AB7" s="2">
        <f>381377.29+71348.65+572444.54+100090.42</f>
        <v>1125260.9</v>
      </c>
      <c r="AC7" s="3">
        <f>110136+22037+97390+38125</f>
        <v>267688</v>
      </c>
      <c r="AD7" s="4">
        <f>AE7/AC7</f>
        <v>3.960456464241953</v>
      </c>
      <c r="AE7" s="2">
        <f>390065+54725.22+482892.08+132484.37</f>
        <v>1060166.67</v>
      </c>
      <c r="AF7" s="3">
        <f>125931+27697+91239+57105</f>
        <v>301972</v>
      </c>
      <c r="AG7" s="4">
        <f>AH7/AF7</f>
        <v>3.8600258964407295</v>
      </c>
      <c r="AH7" s="2">
        <f>446005.62+68780.88+452393.37+198439.87</f>
        <v>1165619.74</v>
      </c>
      <c r="AI7" s="3">
        <f>130070+15774+40750+10850</f>
        <v>197444</v>
      </c>
      <c r="AJ7" s="4">
        <f>AK7/AI7</f>
        <v>3.745834312513928</v>
      </c>
      <c r="AK7" s="2">
        <f>460664.58+39172.1+202052.08+37703.75</f>
        <v>739592.51</v>
      </c>
      <c r="AL7" s="3">
        <f>129781+14458+42880+15437</f>
        <v>202556</v>
      </c>
      <c r="AM7" s="4">
        <f>AN7/AL7</f>
        <v>3.760944973241967</v>
      </c>
      <c r="AN7" s="2">
        <f>459641.04+35904.03+212613.33+53643.57</f>
        <v>761801.9699999999</v>
      </c>
    </row>
    <row r="8" spans="1:40" s="1" customFormat="1" ht="36.75" customHeight="1">
      <c r="A8" s="7"/>
      <c r="B8" s="34"/>
      <c r="C8" s="37" t="s">
        <v>8</v>
      </c>
      <c r="D8" s="25" t="s">
        <v>6</v>
      </c>
      <c r="E8" s="5">
        <f>158582+1</f>
        <v>158583</v>
      </c>
      <c r="F8" s="4">
        <f t="shared" si="0"/>
        <v>7.113129969794997</v>
      </c>
      <c r="G8" s="2">
        <f>1128014.38+7.11</f>
        <v>1128021.49</v>
      </c>
      <c r="H8" s="5">
        <f>154790+1</f>
        <v>154791</v>
      </c>
      <c r="I8" s="4">
        <f>J8/H8</f>
        <v>7.297670019574782</v>
      </c>
      <c r="J8" s="2">
        <f>1129606.34+7.3</f>
        <v>1129613.6400000001</v>
      </c>
      <c r="K8" s="5">
        <v>232910</v>
      </c>
      <c r="L8" s="17">
        <f t="shared" si="1"/>
        <v>7.067180026619725</v>
      </c>
      <c r="M8" s="2">
        <f>1646009.83+7.07</f>
        <v>1646016.9000000001</v>
      </c>
      <c r="N8" s="3">
        <f>240079+329420</f>
        <v>569499</v>
      </c>
      <c r="O8" s="4">
        <f>P8/N8</f>
        <v>7.167839996207192</v>
      </c>
      <c r="P8" s="2">
        <f>1720847.86+2361229.85</f>
        <v>4082077.71</v>
      </c>
      <c r="Q8" s="3">
        <f>183433+201304</f>
        <v>384737</v>
      </c>
      <c r="R8" s="4">
        <f>S8/Q8</f>
        <v>6.811619989759238</v>
      </c>
      <c r="S8" s="2">
        <f>1249475.89+1371206.35</f>
        <v>2620682.24</v>
      </c>
      <c r="T8" s="3">
        <f>217020+208194</f>
        <v>425214</v>
      </c>
      <c r="U8" s="4">
        <f>V8/T8</f>
        <v>7.162990000329246</v>
      </c>
      <c r="V8" s="2">
        <f>1554512.09+1491291.54</f>
        <v>3045803.63</v>
      </c>
      <c r="W8" s="3">
        <f>281332+263641</f>
        <v>544973</v>
      </c>
      <c r="X8" s="4">
        <f>Y8/W8</f>
        <v>7.828690008495833</v>
      </c>
      <c r="Y8" s="2">
        <f>2202461.02+2063963.66</f>
        <v>4266424.68</v>
      </c>
      <c r="Z8" s="3">
        <f>303713+264596</f>
        <v>568309</v>
      </c>
      <c r="AA8" s="4">
        <f>AB8/Z8</f>
        <v>7.935259990603703</v>
      </c>
      <c r="AB8" s="2">
        <f>2410041.62+2099638.05</f>
        <v>4509679.67</v>
      </c>
      <c r="AC8" s="3">
        <f>231076+191033</f>
        <v>422109</v>
      </c>
      <c r="AD8" s="4">
        <f>AE8/AC8</f>
        <v>7.7391700011134565</v>
      </c>
      <c r="AE8" s="2">
        <f>1788336.45+1478436.86</f>
        <v>3266773.31</v>
      </c>
      <c r="AF8" s="3">
        <f>260638+171418</f>
        <v>432056</v>
      </c>
      <c r="AG8" s="4">
        <f>AH8/AF8</f>
        <v>7.474760007961931</v>
      </c>
      <c r="AH8" s="2">
        <f>1948206.5+1281308.41</f>
        <v>3229514.91</v>
      </c>
      <c r="AI8" s="3">
        <f>216887+215703</f>
        <v>432590</v>
      </c>
      <c r="AJ8" s="4">
        <f>AK8/AI8</f>
        <v>7.5675999907533695</v>
      </c>
      <c r="AK8" s="2">
        <f>1641314.06+1632354.02</f>
        <v>3273668.08</v>
      </c>
      <c r="AL8" s="3">
        <f>214696+158424</f>
        <v>373120</v>
      </c>
      <c r="AM8" s="4">
        <f>AN8/AL8</f>
        <v>7.374339997855918</v>
      </c>
      <c r="AN8" s="2">
        <f>1583241.3+1168272.44</f>
        <v>2751513.74</v>
      </c>
    </row>
    <row r="9" spans="1:40" s="1" customFormat="1" ht="42.75" customHeight="1">
      <c r="A9" s="7"/>
      <c r="B9" s="34"/>
      <c r="C9" s="37"/>
      <c r="D9" s="25" t="s">
        <v>7</v>
      </c>
      <c r="E9" s="5">
        <f>629+5767</f>
        <v>6396</v>
      </c>
      <c r="F9" s="4">
        <f t="shared" si="0"/>
        <v>4.657263914946842</v>
      </c>
      <c r="G9" s="2">
        <f>2154.32+27633.54</f>
        <v>29787.86</v>
      </c>
      <c r="H9" s="5">
        <f>318+4717</f>
        <v>5035</v>
      </c>
      <c r="I9" s="4">
        <f>J9/H9</f>
        <v>4.7053505461767635</v>
      </c>
      <c r="J9" s="2">
        <f>1089.15+22602.29</f>
        <v>23691.440000000002</v>
      </c>
      <c r="K9" s="5">
        <f>505+6104</f>
        <v>6609</v>
      </c>
      <c r="L9" s="17">
        <f t="shared" si="1"/>
        <v>4.687237100922984</v>
      </c>
      <c r="M9" s="2">
        <f>1729.62+29248.33</f>
        <v>30977.95</v>
      </c>
      <c r="N9" s="3">
        <f>467+5492</f>
        <v>5959</v>
      </c>
      <c r="O9" s="4">
        <f>P9/N9</f>
        <v>4.684561167981205</v>
      </c>
      <c r="P9" s="2">
        <f>1599.47+26315.83</f>
        <v>27915.300000000003</v>
      </c>
      <c r="Q9" s="3">
        <f>449+2341</f>
        <v>2790</v>
      </c>
      <c r="R9" s="4">
        <f>S9/Q9</f>
        <v>4.571724014336918</v>
      </c>
      <c r="S9" s="2">
        <f>1537.82+11217.29</f>
        <v>12755.11</v>
      </c>
      <c r="T9" s="3">
        <f>567+2081</f>
        <v>2648</v>
      </c>
      <c r="U9" s="4">
        <f>V9/T9</f>
        <v>4.499029456193353</v>
      </c>
      <c r="V9" s="2">
        <f>1941.97+9971.46</f>
        <v>11913.429999999998</v>
      </c>
      <c r="W9" s="3">
        <f>379+2740</f>
        <v>3119</v>
      </c>
      <c r="X9" s="4">
        <f>Y9/W9</f>
        <v>4.786187880731003</v>
      </c>
      <c r="Y9" s="2">
        <f>1342.29+13585.83</f>
        <v>14928.119999999999</v>
      </c>
      <c r="Z9" s="3">
        <f>307+2292</f>
        <v>2599</v>
      </c>
      <c r="AA9" s="4">
        <f>AB9/Z9</f>
        <v>4.79099268949596</v>
      </c>
      <c r="AB9" s="2">
        <f>1087.29+11364.5</f>
        <v>12451.79</v>
      </c>
      <c r="AC9" s="3">
        <f>373+2700</f>
        <v>3073</v>
      </c>
      <c r="AD9" s="4">
        <f>AE9/AC9</f>
        <v>4.786378132118451</v>
      </c>
      <c r="AE9" s="2">
        <f>1321.04+13387.5</f>
        <v>14708.54</v>
      </c>
      <c r="AF9" s="3">
        <f>682+2675</f>
        <v>3357</v>
      </c>
      <c r="AG9" s="4">
        <f>AH9/AF9</f>
        <v>4.670527256479</v>
      </c>
      <c r="AH9" s="2">
        <f>2415.42+13263.54</f>
        <v>15678.960000000001</v>
      </c>
      <c r="AI9" s="3">
        <f>486+2605</f>
        <v>3091</v>
      </c>
      <c r="AJ9" s="4">
        <f>AK9/AI9</f>
        <v>4.735590423811064</v>
      </c>
      <c r="AK9" s="2">
        <f>1721.25+12916.46</f>
        <v>14637.71</v>
      </c>
      <c r="AL9" s="3">
        <f>637+5664</f>
        <v>6301</v>
      </c>
      <c r="AM9" s="4">
        <f>AN9/AL9</f>
        <v>4.815115061101412</v>
      </c>
      <c r="AN9" s="2">
        <f>2256.04+28084</f>
        <v>30340.04</v>
      </c>
    </row>
    <row r="10" spans="1:40" s="1" customFormat="1" ht="42.75" customHeight="1">
      <c r="A10" s="7"/>
      <c r="B10" s="35"/>
      <c r="C10" s="24" t="s">
        <v>22</v>
      </c>
      <c r="D10" s="25" t="s">
        <v>6</v>
      </c>
      <c r="E10" s="5">
        <v>22</v>
      </c>
      <c r="F10" s="4">
        <f t="shared" si="0"/>
        <v>6.08909090909091</v>
      </c>
      <c r="G10" s="2">
        <v>133.96</v>
      </c>
      <c r="H10" s="5">
        <v>19</v>
      </c>
      <c r="I10" s="4">
        <f>J10/H10</f>
        <v>6.273684210526316</v>
      </c>
      <c r="J10" s="2">
        <v>119.2</v>
      </c>
      <c r="K10" s="5">
        <v>22</v>
      </c>
      <c r="L10" s="17">
        <f t="shared" si="1"/>
        <v>6.043181818181818</v>
      </c>
      <c r="M10" s="2">
        <v>132.95</v>
      </c>
      <c r="N10" s="3">
        <v>21</v>
      </c>
      <c r="O10" s="4">
        <f>P10/N10</f>
        <v>6.143809523809525</v>
      </c>
      <c r="P10" s="2">
        <v>129.02</v>
      </c>
      <c r="Q10" s="3">
        <v>22</v>
      </c>
      <c r="R10" s="4">
        <f>S10/Q10</f>
        <v>5.787727272727273</v>
      </c>
      <c r="S10" s="2">
        <v>127.33</v>
      </c>
      <c r="T10" s="3">
        <v>21</v>
      </c>
      <c r="U10" s="4">
        <f>V10/T10</f>
        <v>6.139047619047618</v>
      </c>
      <c r="V10" s="2">
        <v>128.92</v>
      </c>
      <c r="W10" s="3">
        <v>22</v>
      </c>
      <c r="X10" s="4">
        <f>Y10/W10</f>
        <v>6.630454545454546</v>
      </c>
      <c r="Y10" s="2">
        <v>145.87</v>
      </c>
      <c r="Z10" s="5" t="s">
        <v>26</v>
      </c>
      <c r="AA10" s="4" t="s">
        <v>26</v>
      </c>
      <c r="AB10" s="2" t="s">
        <v>26</v>
      </c>
      <c r="AC10" s="5" t="s">
        <v>26</v>
      </c>
      <c r="AD10" s="4" t="s">
        <v>26</v>
      </c>
      <c r="AE10" s="2" t="s">
        <v>26</v>
      </c>
      <c r="AF10" s="5" t="s">
        <v>26</v>
      </c>
      <c r="AG10" s="4" t="s">
        <v>26</v>
      </c>
      <c r="AH10" s="2" t="s">
        <v>26</v>
      </c>
      <c r="AI10" s="5" t="s">
        <v>26</v>
      </c>
      <c r="AJ10" s="4" t="s">
        <v>26</v>
      </c>
      <c r="AK10" s="2" t="s">
        <v>26</v>
      </c>
      <c r="AL10" s="5" t="s">
        <v>26</v>
      </c>
      <c r="AM10" s="4" t="s">
        <v>26</v>
      </c>
      <c r="AN10" s="2" t="s">
        <v>26</v>
      </c>
    </row>
    <row r="11" spans="1:40" s="1" customFormat="1" ht="30" customHeight="1">
      <c r="A11" s="7"/>
      <c r="B11" s="33" t="s">
        <v>23</v>
      </c>
      <c r="C11" s="36" t="s">
        <v>9</v>
      </c>
      <c r="D11" s="26" t="s">
        <v>6</v>
      </c>
      <c r="E11" s="27">
        <f>1349182+202936+359872+139680</f>
        <v>2051670</v>
      </c>
      <c r="F11" s="4">
        <f t="shared" si="0"/>
        <v>6.099200407472937</v>
      </c>
      <c r="G11" s="2">
        <f>16019178.99-3505632.49</f>
        <v>12513546.5</v>
      </c>
      <c r="H11" s="5">
        <f>1333355+150531+357281+140160</f>
        <v>1981327</v>
      </c>
      <c r="I11" s="4"/>
      <c r="J11" s="2">
        <f>8480104.52+926290.25+2149285.98+869876.95</f>
        <v>12425557.7</v>
      </c>
      <c r="K11" s="19">
        <f>816073+98887+262200+110160</f>
        <v>1287320</v>
      </c>
      <c r="L11" s="4">
        <f t="shared" si="1"/>
        <v>6.0680358885125685</v>
      </c>
      <c r="M11" s="2">
        <f>5002107.16+585707.21+1549918.23+673771.36</f>
        <v>7811503.96</v>
      </c>
      <c r="N11" s="5" t="s">
        <v>26</v>
      </c>
      <c r="O11" s="4" t="s">
        <v>26</v>
      </c>
      <c r="P11" s="2" t="s">
        <v>26</v>
      </c>
      <c r="Q11" s="5" t="s">
        <v>26</v>
      </c>
      <c r="R11" s="4" t="s">
        <v>26</v>
      </c>
      <c r="S11" s="2" t="s">
        <v>26</v>
      </c>
      <c r="T11" s="5" t="s">
        <v>26</v>
      </c>
      <c r="U11" s="4" t="s">
        <v>26</v>
      </c>
      <c r="V11" s="2" t="s">
        <v>26</v>
      </c>
      <c r="W11" s="5" t="s">
        <v>26</v>
      </c>
      <c r="X11" s="4" t="s">
        <v>26</v>
      </c>
      <c r="Y11" s="2" t="s">
        <v>26</v>
      </c>
      <c r="Z11" s="5" t="s">
        <v>26</v>
      </c>
      <c r="AA11" s="4" t="s">
        <v>26</v>
      </c>
      <c r="AB11" s="2" t="s">
        <v>26</v>
      </c>
      <c r="AC11" s="5" t="s">
        <v>26</v>
      </c>
      <c r="AD11" s="4" t="s">
        <v>26</v>
      </c>
      <c r="AE11" s="2" t="s">
        <v>26</v>
      </c>
      <c r="AF11" s="5" t="s">
        <v>26</v>
      </c>
      <c r="AG11" s="4" t="s">
        <v>26</v>
      </c>
      <c r="AH11" s="2" t="s">
        <v>26</v>
      </c>
      <c r="AI11" s="5" t="s">
        <v>26</v>
      </c>
      <c r="AJ11" s="4" t="s">
        <v>26</v>
      </c>
      <c r="AK11" s="2" t="s">
        <v>26</v>
      </c>
      <c r="AL11" s="5" t="s">
        <v>26</v>
      </c>
      <c r="AM11" s="4" t="s">
        <v>26</v>
      </c>
      <c r="AN11" s="2" t="s">
        <v>26</v>
      </c>
    </row>
    <row r="12" spans="1:40" s="1" customFormat="1" ht="39.75" customHeight="1">
      <c r="A12" s="7"/>
      <c r="B12" s="34"/>
      <c r="C12" s="36"/>
      <c r="D12" s="11" t="s">
        <v>7</v>
      </c>
      <c r="E12" s="5" t="s">
        <v>26</v>
      </c>
      <c r="F12" s="4" t="s">
        <v>26</v>
      </c>
      <c r="G12" s="2" t="s">
        <v>26</v>
      </c>
      <c r="H12" s="5" t="s">
        <v>26</v>
      </c>
      <c r="I12" s="4" t="s">
        <v>26</v>
      </c>
      <c r="J12" s="2" t="s">
        <v>26</v>
      </c>
      <c r="K12" s="19" t="s">
        <v>26</v>
      </c>
      <c r="L12" s="4" t="s">
        <v>26</v>
      </c>
      <c r="M12" s="2" t="s">
        <v>26</v>
      </c>
      <c r="N12" s="5" t="s">
        <v>26</v>
      </c>
      <c r="O12" s="4" t="s">
        <v>26</v>
      </c>
      <c r="P12" s="2" t="s">
        <v>26</v>
      </c>
      <c r="Q12" s="5" t="s">
        <v>26</v>
      </c>
      <c r="R12" s="4" t="s">
        <v>26</v>
      </c>
      <c r="S12" s="2" t="s">
        <v>26</v>
      </c>
      <c r="T12" s="5" t="s">
        <v>26</v>
      </c>
      <c r="U12" s="4" t="s">
        <v>26</v>
      </c>
      <c r="V12" s="2" t="s">
        <v>26</v>
      </c>
      <c r="W12" s="5" t="s">
        <v>26</v>
      </c>
      <c r="X12" s="4" t="s">
        <v>26</v>
      </c>
      <c r="Y12" s="2" t="s">
        <v>26</v>
      </c>
      <c r="Z12" s="5" t="s">
        <v>26</v>
      </c>
      <c r="AA12" s="4" t="s">
        <v>26</v>
      </c>
      <c r="AB12" s="2" t="s">
        <v>26</v>
      </c>
      <c r="AC12" s="5" t="s">
        <v>26</v>
      </c>
      <c r="AD12" s="4" t="s">
        <v>26</v>
      </c>
      <c r="AE12" s="2" t="s">
        <v>26</v>
      </c>
      <c r="AF12" s="5" t="s">
        <v>26</v>
      </c>
      <c r="AG12" s="4" t="s">
        <v>26</v>
      </c>
      <c r="AH12" s="2" t="s">
        <v>26</v>
      </c>
      <c r="AI12" s="5" t="s">
        <v>26</v>
      </c>
      <c r="AJ12" s="4" t="s">
        <v>26</v>
      </c>
      <c r="AK12" s="2" t="s">
        <v>26</v>
      </c>
      <c r="AL12" s="5" t="s">
        <v>26</v>
      </c>
      <c r="AM12" s="4" t="s">
        <v>26</v>
      </c>
      <c r="AN12" s="2" t="s">
        <v>26</v>
      </c>
    </row>
    <row r="13" spans="1:40" s="1" customFormat="1" ht="30" customHeight="1">
      <c r="A13" s="7"/>
      <c r="B13" s="34"/>
      <c r="C13" s="36" t="s">
        <v>8</v>
      </c>
      <c r="D13" s="18" t="s">
        <v>6</v>
      </c>
      <c r="E13" s="5">
        <v>505979</v>
      </c>
      <c r="F13" s="4">
        <f>G13/E13</f>
        <v>6.928414993507636</v>
      </c>
      <c r="G13" s="2">
        <v>3505632.49</v>
      </c>
      <c r="H13" s="5">
        <f>358822</f>
        <v>358822</v>
      </c>
      <c r="I13" s="4"/>
      <c r="J13" s="2">
        <f>2552284.79</f>
        <v>2552284.79</v>
      </c>
      <c r="K13" s="19">
        <v>255892</v>
      </c>
      <c r="L13" s="4">
        <f>M13/K13</f>
        <v>6.882465219702062</v>
      </c>
      <c r="M13" s="2">
        <f>1761167.79</f>
        <v>1761167.79</v>
      </c>
      <c r="N13" s="5" t="s">
        <v>26</v>
      </c>
      <c r="O13" s="4" t="s">
        <v>26</v>
      </c>
      <c r="P13" s="2" t="s">
        <v>26</v>
      </c>
      <c r="Q13" s="5" t="s">
        <v>26</v>
      </c>
      <c r="R13" s="4" t="s">
        <v>26</v>
      </c>
      <c r="S13" s="2" t="s">
        <v>26</v>
      </c>
      <c r="T13" s="5" t="s">
        <v>26</v>
      </c>
      <c r="U13" s="4" t="s">
        <v>26</v>
      </c>
      <c r="V13" s="2" t="s">
        <v>26</v>
      </c>
      <c r="W13" s="5" t="s">
        <v>26</v>
      </c>
      <c r="X13" s="4" t="s">
        <v>26</v>
      </c>
      <c r="Y13" s="2" t="s">
        <v>26</v>
      </c>
      <c r="Z13" s="5" t="s">
        <v>26</v>
      </c>
      <c r="AA13" s="4" t="s">
        <v>26</v>
      </c>
      <c r="AB13" s="2" t="s">
        <v>26</v>
      </c>
      <c r="AC13" s="5" t="s">
        <v>26</v>
      </c>
      <c r="AD13" s="4" t="s">
        <v>26</v>
      </c>
      <c r="AE13" s="2" t="s">
        <v>26</v>
      </c>
      <c r="AF13" s="5" t="s">
        <v>26</v>
      </c>
      <c r="AG13" s="4" t="s">
        <v>26</v>
      </c>
      <c r="AH13" s="2" t="s">
        <v>26</v>
      </c>
      <c r="AI13" s="5" t="s">
        <v>26</v>
      </c>
      <c r="AJ13" s="4" t="s">
        <v>26</v>
      </c>
      <c r="AK13" s="2" t="s">
        <v>26</v>
      </c>
      <c r="AL13" s="5" t="s">
        <v>26</v>
      </c>
      <c r="AM13" s="4" t="s">
        <v>26</v>
      </c>
      <c r="AN13" s="2" t="s">
        <v>26</v>
      </c>
    </row>
    <row r="14" spans="1:40" s="1" customFormat="1" ht="39.75" customHeight="1">
      <c r="A14" s="7"/>
      <c r="B14" s="34"/>
      <c r="C14" s="36"/>
      <c r="D14" s="11" t="s">
        <v>7</v>
      </c>
      <c r="E14" s="5" t="s">
        <v>26</v>
      </c>
      <c r="F14" s="4" t="s">
        <v>26</v>
      </c>
      <c r="G14" s="2" t="s">
        <v>26</v>
      </c>
      <c r="H14" s="5" t="s">
        <v>26</v>
      </c>
      <c r="I14" s="4" t="s">
        <v>26</v>
      </c>
      <c r="J14" s="5" t="s">
        <v>26</v>
      </c>
      <c r="K14" s="19" t="s">
        <v>26</v>
      </c>
      <c r="L14" s="4" t="s">
        <v>26</v>
      </c>
      <c r="M14" s="5" t="s">
        <v>26</v>
      </c>
      <c r="N14" s="5" t="s">
        <v>26</v>
      </c>
      <c r="O14" s="4" t="s">
        <v>26</v>
      </c>
      <c r="P14" s="5" t="s">
        <v>26</v>
      </c>
      <c r="Q14" s="5" t="s">
        <v>26</v>
      </c>
      <c r="R14" s="4" t="s">
        <v>26</v>
      </c>
      <c r="S14" s="5" t="s">
        <v>26</v>
      </c>
      <c r="T14" s="5" t="s">
        <v>26</v>
      </c>
      <c r="U14" s="4" t="s">
        <v>26</v>
      </c>
      <c r="V14" s="5" t="s">
        <v>26</v>
      </c>
      <c r="W14" s="5" t="s">
        <v>26</v>
      </c>
      <c r="X14" s="4" t="s">
        <v>26</v>
      </c>
      <c r="Y14" s="5" t="s">
        <v>26</v>
      </c>
      <c r="Z14" s="5" t="s">
        <v>26</v>
      </c>
      <c r="AA14" s="4" t="s">
        <v>26</v>
      </c>
      <c r="AB14" s="5" t="s">
        <v>26</v>
      </c>
      <c r="AC14" s="5" t="s">
        <v>26</v>
      </c>
      <c r="AD14" s="4" t="s">
        <v>26</v>
      </c>
      <c r="AE14" s="5" t="s">
        <v>26</v>
      </c>
      <c r="AF14" s="5" t="s">
        <v>26</v>
      </c>
      <c r="AG14" s="4" t="s">
        <v>26</v>
      </c>
      <c r="AH14" s="5" t="s">
        <v>26</v>
      </c>
      <c r="AI14" s="5" t="s">
        <v>26</v>
      </c>
      <c r="AJ14" s="4" t="s">
        <v>26</v>
      </c>
      <c r="AK14" s="5" t="s">
        <v>26</v>
      </c>
      <c r="AL14" s="5" t="s">
        <v>26</v>
      </c>
      <c r="AM14" s="4" t="s">
        <v>26</v>
      </c>
      <c r="AN14" s="5" t="s">
        <v>26</v>
      </c>
    </row>
    <row r="15" spans="1:40" s="1" customFormat="1" ht="42.75" customHeight="1">
      <c r="A15" s="7"/>
      <c r="B15" s="35"/>
      <c r="C15" s="20" t="s">
        <v>22</v>
      </c>
      <c r="D15" s="23" t="s">
        <v>6</v>
      </c>
      <c r="E15" s="5" t="s">
        <v>26</v>
      </c>
      <c r="F15" s="4" t="s">
        <v>26</v>
      </c>
      <c r="G15" s="2" t="s">
        <v>26</v>
      </c>
      <c r="H15" s="5" t="s">
        <v>26</v>
      </c>
      <c r="I15" s="4" t="s">
        <v>26</v>
      </c>
      <c r="J15" s="5" t="s">
        <v>26</v>
      </c>
      <c r="K15" s="5" t="s">
        <v>26</v>
      </c>
      <c r="L15" s="5" t="s">
        <v>26</v>
      </c>
      <c r="M15" s="5" t="s">
        <v>26</v>
      </c>
      <c r="N15" s="5" t="s">
        <v>26</v>
      </c>
      <c r="O15" s="5" t="s">
        <v>26</v>
      </c>
      <c r="P15" s="5" t="s">
        <v>26</v>
      </c>
      <c r="Q15" s="5" t="s">
        <v>26</v>
      </c>
      <c r="R15" s="5" t="s">
        <v>26</v>
      </c>
      <c r="S15" s="5" t="s">
        <v>26</v>
      </c>
      <c r="T15" s="5" t="s">
        <v>26</v>
      </c>
      <c r="U15" s="5" t="s">
        <v>26</v>
      </c>
      <c r="V15" s="5" t="s">
        <v>26</v>
      </c>
      <c r="W15" s="5" t="s">
        <v>26</v>
      </c>
      <c r="X15" s="5" t="s">
        <v>26</v>
      </c>
      <c r="Y15" s="5" t="s">
        <v>26</v>
      </c>
      <c r="Z15" s="5" t="s">
        <v>26</v>
      </c>
      <c r="AA15" s="5" t="s">
        <v>26</v>
      </c>
      <c r="AB15" s="5" t="s">
        <v>26</v>
      </c>
      <c r="AC15" s="5" t="s">
        <v>26</v>
      </c>
      <c r="AD15" s="5" t="s">
        <v>26</v>
      </c>
      <c r="AE15" s="5" t="s">
        <v>26</v>
      </c>
      <c r="AF15" s="5" t="s">
        <v>26</v>
      </c>
      <c r="AG15" s="5" t="s">
        <v>26</v>
      </c>
      <c r="AH15" s="5" t="s">
        <v>26</v>
      </c>
      <c r="AI15" s="5" t="s">
        <v>26</v>
      </c>
      <c r="AJ15" s="5" t="s">
        <v>26</v>
      </c>
      <c r="AK15" s="5" t="s">
        <v>26</v>
      </c>
      <c r="AL15" s="5" t="s">
        <v>26</v>
      </c>
      <c r="AM15" s="5" t="s">
        <v>26</v>
      </c>
      <c r="AN15" s="5" t="s">
        <v>26</v>
      </c>
    </row>
  </sheetData>
  <sheetProtection/>
  <mergeCells count="21">
    <mergeCell ref="D4:D5"/>
    <mergeCell ref="C6:C7"/>
    <mergeCell ref="AI4:AK4"/>
    <mergeCell ref="E4:G4"/>
    <mergeCell ref="B11:B15"/>
    <mergeCell ref="C11:C12"/>
    <mergeCell ref="C13:C14"/>
    <mergeCell ref="C8:C9"/>
    <mergeCell ref="K4:M4"/>
    <mergeCell ref="B4:B5"/>
    <mergeCell ref="B6:B10"/>
    <mergeCell ref="C4:C5"/>
    <mergeCell ref="AL4:AN4"/>
    <mergeCell ref="N4:P4"/>
    <mergeCell ref="H4:J4"/>
    <mergeCell ref="Q4:S4"/>
    <mergeCell ref="AF4:AH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 5</dc:creator>
  <cp:keywords/>
  <dc:description/>
  <cp:lastModifiedBy>Илья</cp:lastModifiedBy>
  <dcterms:created xsi:type="dcterms:W3CDTF">2011-05-27T10:16:11Z</dcterms:created>
  <dcterms:modified xsi:type="dcterms:W3CDTF">2022-05-04T12:52:11Z</dcterms:modified>
  <cp:category/>
  <cp:version/>
  <cp:contentType/>
  <cp:contentStatus/>
</cp:coreProperties>
</file>