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7400" windowHeight="12855" activeTab="0"/>
  </bookViews>
  <sheets>
    <sheet name="покупка 2020" sheetId="1" r:id="rId1"/>
  </sheets>
  <definedNames/>
  <calcPr fullCalcOnLoad="1"/>
</workbook>
</file>

<file path=xl/sharedStrings.xml><?xml version="1.0" encoding="utf-8"?>
<sst xmlns="http://schemas.openxmlformats.org/spreadsheetml/2006/main" count="166" uniqueCount="27">
  <si>
    <t>Гарантирующие поставщики</t>
  </si>
  <si>
    <t>Уровень напряжения</t>
  </si>
  <si>
    <t>Категория потребителей</t>
  </si>
  <si>
    <t>Кол-во, кВт*ч</t>
  </si>
  <si>
    <t>Цена, руб</t>
  </si>
  <si>
    <t>Стоимость (без НДС), руб</t>
  </si>
  <si>
    <t>По тарифам для прочих потребителей</t>
  </si>
  <si>
    <t>По тарифам для населения и приравненных к ним групп потребителей</t>
  </si>
  <si>
    <t>НН</t>
  </si>
  <si>
    <t>СН II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</si>
  <si>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</si>
  <si>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</si>
  <si>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</si>
  <si>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</si>
  <si>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</si>
  <si>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</si>
  <si>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</si>
  <si>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</si>
  <si>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</si>
  <si>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</si>
  <si>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</si>
  <si>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</si>
  <si>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</si>
  <si>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</si>
  <si>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ООО "Энергосбытовая компания "Энергостандарт"</t>
  </si>
  <si>
    <t>Информация об объемах покупки электрической энергии (мощности) на розничном рынке электрической энергии  в 2020г.</t>
  </si>
  <si>
    <t>ПАО "ТНС энерго Ростов-на-Дону"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</si>
</sst>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0&quot;р.&quot;"/>
    <numFmt numFmtId="181" formatCode="0.0000000000"/>
    <numFmt numFmtId="182" formatCode="0.000000000"/>
    <numFmt numFmtId="183" formatCode="0.0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/>
    </xf>
    <xf numFmtId="174" fontId="19" fillId="24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24" borderId="0" xfId="0" applyFont="1" applyFill="1" applyAlignment="1">
      <alignment/>
    </xf>
    <xf numFmtId="0" fontId="24" fillId="0" borderId="0" xfId="0" applyFont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4" fontId="19" fillId="24" borderId="10" xfId="0" applyNumberFormat="1" applyFont="1" applyFill="1" applyBorder="1" applyAlignment="1">
      <alignment horizontal="center" vertical="center"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24" borderId="10" xfId="53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4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74" fontId="22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74" fontId="20" fillId="24" borderId="10" xfId="53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53" applyFont="1" applyFill="1" applyBorder="1" applyAlignment="1">
      <alignment horizontal="center" vertical="center" wrapText="1"/>
      <protection/>
    </xf>
    <xf numFmtId="0" fontId="20" fillId="24" borderId="13" xfId="53" applyFont="1" applyFill="1" applyBorder="1" applyAlignment="1">
      <alignment horizontal="center" vertical="center" wrapText="1"/>
      <protection/>
    </xf>
    <xf numFmtId="0" fontId="20" fillId="24" borderId="14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174" fontId="19" fillId="24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пия ЦЭС_2010 итог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7"/>
  <sheetViews>
    <sheetView tabSelected="1" zoomScalePageLayoutView="0" workbookViewId="0" topLeftCell="AA1">
      <selection activeCell="N15" sqref="N15:U17"/>
    </sheetView>
  </sheetViews>
  <sheetFormatPr defaultColWidth="9.140625" defaultRowHeight="12.75"/>
  <cols>
    <col min="1" max="1" width="0" style="6" hidden="1" customWidth="1"/>
    <col min="2" max="2" width="16.8515625" style="6" customWidth="1"/>
    <col min="3" max="3" width="12.421875" style="6" customWidth="1"/>
    <col min="4" max="4" width="27.421875" style="6" customWidth="1"/>
    <col min="5" max="6" width="9.140625" style="7" customWidth="1"/>
    <col min="7" max="7" width="12.57421875" style="7" customWidth="1"/>
    <col min="8" max="9" width="9.140625" style="7" customWidth="1"/>
    <col min="10" max="10" width="11.57421875" style="7" customWidth="1"/>
    <col min="11" max="12" width="9.140625" style="7" customWidth="1"/>
    <col min="13" max="13" width="11.8515625" style="7" customWidth="1"/>
    <col min="14" max="15" width="9.140625" style="7" customWidth="1"/>
    <col min="16" max="16" width="12.7109375" style="7" customWidth="1"/>
    <col min="17" max="18" width="9.140625" style="7" customWidth="1"/>
    <col min="19" max="19" width="12.7109375" style="7" customWidth="1"/>
    <col min="20" max="21" width="9.140625" style="6" customWidth="1"/>
    <col min="22" max="22" width="10.7109375" style="33" customWidth="1"/>
    <col min="23" max="24" width="9.140625" style="6" customWidth="1"/>
    <col min="25" max="25" width="10.8515625" style="6" customWidth="1"/>
    <col min="26" max="27" width="9.140625" style="6" customWidth="1"/>
    <col min="28" max="37" width="10.7109375" style="0" customWidth="1"/>
    <col min="38" max="40" width="10.7109375" style="1" customWidth="1"/>
  </cols>
  <sheetData>
    <row r="2" spans="1:40" s="15" customFormat="1" ht="15">
      <c r="A2" s="12"/>
      <c r="B2" s="13" t="s">
        <v>25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32"/>
      <c r="W2" s="12"/>
      <c r="X2" s="12"/>
      <c r="Y2" s="12"/>
      <c r="Z2" s="12"/>
      <c r="AA2" s="12"/>
      <c r="AL2" s="28"/>
      <c r="AM2" s="28"/>
      <c r="AN2" s="28"/>
    </row>
    <row r="3" spans="2:4" ht="12.75">
      <c r="B3" s="9"/>
      <c r="C3" s="9"/>
      <c r="D3" s="9"/>
    </row>
    <row r="4" spans="1:40" s="24" customFormat="1" ht="17.25" customHeight="1">
      <c r="A4" s="23"/>
      <c r="B4" s="44" t="s">
        <v>0</v>
      </c>
      <c r="C4" s="44" t="s">
        <v>1</v>
      </c>
      <c r="D4" s="44" t="s">
        <v>2</v>
      </c>
      <c r="E4" s="46" t="s">
        <v>11</v>
      </c>
      <c r="F4" s="47"/>
      <c r="G4" s="48"/>
      <c r="H4" s="46" t="s">
        <v>12</v>
      </c>
      <c r="I4" s="47"/>
      <c r="J4" s="48"/>
      <c r="K4" s="43" t="s">
        <v>13</v>
      </c>
      <c r="L4" s="43"/>
      <c r="M4" s="43"/>
      <c r="N4" s="43" t="s">
        <v>14</v>
      </c>
      <c r="O4" s="43"/>
      <c r="P4" s="43"/>
      <c r="Q4" s="43" t="s">
        <v>15</v>
      </c>
      <c r="R4" s="43"/>
      <c r="S4" s="43"/>
      <c r="T4" s="43" t="s">
        <v>16</v>
      </c>
      <c r="U4" s="43"/>
      <c r="V4" s="43"/>
      <c r="W4" s="43" t="s">
        <v>17</v>
      </c>
      <c r="X4" s="43"/>
      <c r="Y4" s="43"/>
      <c r="Z4" s="43" t="s">
        <v>18</v>
      </c>
      <c r="AA4" s="43"/>
      <c r="AB4" s="43"/>
      <c r="AC4" s="45" t="s">
        <v>19</v>
      </c>
      <c r="AD4" s="45"/>
      <c r="AE4" s="45"/>
      <c r="AF4" s="45" t="s">
        <v>20</v>
      </c>
      <c r="AG4" s="45"/>
      <c r="AH4" s="45"/>
      <c r="AI4" s="45" t="s">
        <v>21</v>
      </c>
      <c r="AJ4" s="45"/>
      <c r="AK4" s="45"/>
      <c r="AL4" s="43" t="s">
        <v>22</v>
      </c>
      <c r="AM4" s="43"/>
      <c r="AN4" s="43"/>
    </row>
    <row r="5" spans="2:40" ht="38.25">
      <c r="B5" s="44"/>
      <c r="C5" s="44"/>
      <c r="D5" s="44"/>
      <c r="E5" s="8" t="s">
        <v>3</v>
      </c>
      <c r="F5" s="8" t="s">
        <v>4</v>
      </c>
      <c r="G5" s="10" t="s">
        <v>5</v>
      </c>
      <c r="H5" s="8" t="s">
        <v>3</v>
      </c>
      <c r="I5" s="8" t="s">
        <v>4</v>
      </c>
      <c r="J5" s="10" t="s">
        <v>5</v>
      </c>
      <c r="K5" s="16" t="s">
        <v>3</v>
      </c>
      <c r="L5" s="16" t="s">
        <v>4</v>
      </c>
      <c r="M5" s="10" t="s">
        <v>5</v>
      </c>
      <c r="N5" s="16" t="s">
        <v>3</v>
      </c>
      <c r="O5" s="16" t="s">
        <v>4</v>
      </c>
      <c r="P5" s="10" t="s">
        <v>5</v>
      </c>
      <c r="Q5" s="29" t="s">
        <v>3</v>
      </c>
      <c r="R5" s="29" t="s">
        <v>4</v>
      </c>
      <c r="S5" s="10" t="s">
        <v>5</v>
      </c>
      <c r="T5" s="17" t="s">
        <v>3</v>
      </c>
      <c r="U5" s="17" t="s">
        <v>4</v>
      </c>
      <c r="V5" s="34" t="s">
        <v>5</v>
      </c>
      <c r="W5" s="17" t="s">
        <v>3</v>
      </c>
      <c r="X5" s="17" t="s">
        <v>4</v>
      </c>
      <c r="Y5" s="10" t="s">
        <v>5</v>
      </c>
      <c r="Z5" s="17" t="s">
        <v>3</v>
      </c>
      <c r="AA5" s="17" t="s">
        <v>4</v>
      </c>
      <c r="AB5" s="10" t="s">
        <v>5</v>
      </c>
      <c r="AC5" s="19" t="s">
        <v>3</v>
      </c>
      <c r="AD5" s="19" t="s">
        <v>4</v>
      </c>
      <c r="AE5" s="10" t="s">
        <v>5</v>
      </c>
      <c r="AF5" s="19" t="s">
        <v>3</v>
      </c>
      <c r="AG5" s="19" t="s">
        <v>4</v>
      </c>
      <c r="AH5" s="10" t="s">
        <v>5</v>
      </c>
      <c r="AI5" s="19" t="s">
        <v>3</v>
      </c>
      <c r="AJ5" s="19" t="s">
        <v>4</v>
      </c>
      <c r="AK5" s="10" t="s">
        <v>5</v>
      </c>
      <c r="AL5" s="27" t="s">
        <v>3</v>
      </c>
      <c r="AM5" s="27" t="s">
        <v>4</v>
      </c>
      <c r="AN5" s="10" t="s">
        <v>5</v>
      </c>
    </row>
    <row r="6" spans="1:40" s="1" customFormat="1" ht="26.25" customHeight="1">
      <c r="A6" s="7"/>
      <c r="B6" s="38" t="s">
        <v>26</v>
      </c>
      <c r="C6" s="42" t="s">
        <v>9</v>
      </c>
      <c r="D6" s="36" t="s">
        <v>6</v>
      </c>
      <c r="E6" s="49">
        <f>108606</f>
        <v>108606</v>
      </c>
      <c r="F6" s="4">
        <f aca="true" t="shared" si="0" ref="F6:F11">G6/E6</f>
        <v>6.28059996685266</v>
      </c>
      <c r="G6" s="50">
        <f>682110.84</f>
        <v>682110.84</v>
      </c>
      <c r="H6" s="5">
        <f>98690</f>
        <v>98690</v>
      </c>
      <c r="I6" s="4">
        <f aca="true" t="shared" si="1" ref="I6:I11">J6/H6</f>
        <v>6.4517500253318465</v>
      </c>
      <c r="J6" s="2">
        <f>636723.21</f>
        <v>636723.21</v>
      </c>
      <c r="K6" s="5">
        <f>90353</f>
        <v>90353</v>
      </c>
      <c r="L6" s="18">
        <f aca="true" t="shared" si="2" ref="L6:L11">M6/K6</f>
        <v>6.18254003740883</v>
      </c>
      <c r="M6" s="2">
        <f>558611.04</f>
        <v>558611.04</v>
      </c>
      <c r="N6" s="3">
        <f>90353</f>
        <v>90353</v>
      </c>
      <c r="O6" s="4">
        <f>P6/N6</f>
        <v>6.18254003740883</v>
      </c>
      <c r="P6" s="2">
        <v>558611.04</v>
      </c>
      <c r="Q6" s="3">
        <v>64199</v>
      </c>
      <c r="R6" s="4">
        <f aca="true" t="shared" si="3" ref="R6:R11">S6/Q6</f>
        <v>6.057109923830589</v>
      </c>
      <c r="S6" s="2">
        <f>388860.4</f>
        <v>388860.4</v>
      </c>
      <c r="T6" s="3">
        <f>90210</f>
        <v>90210</v>
      </c>
      <c r="U6" s="4">
        <f aca="true" t="shared" si="4" ref="U6:U11">V6/T6</f>
        <v>6.264869970069838</v>
      </c>
      <c r="V6" s="2">
        <f>565153.92</f>
        <v>565153.92</v>
      </c>
      <c r="W6" s="5">
        <v>116550</v>
      </c>
      <c r="X6" s="4">
        <f aca="true" t="shared" si="5" ref="X6:X11">Y6/W6</f>
        <v>6.5408700128700135</v>
      </c>
      <c r="Y6" s="5">
        <f>762338.4</f>
        <v>762338.4</v>
      </c>
      <c r="Z6" s="5">
        <v>118540</v>
      </c>
      <c r="AA6" s="4">
        <f aca="true" t="shared" si="6" ref="AA6:AA11">AB6/Z6</f>
        <v>6.532590011810359</v>
      </c>
      <c r="AB6" s="5">
        <v>774373.22</v>
      </c>
      <c r="AC6" s="5">
        <f>108110</f>
        <v>108110</v>
      </c>
      <c r="AD6" s="4">
        <f aca="true" t="shared" si="7" ref="AD6:AD11">AE6/AC6</f>
        <v>6.636129960225696</v>
      </c>
      <c r="AE6" s="5">
        <f>717432.01</f>
        <v>717432.01</v>
      </c>
      <c r="AF6" s="5">
        <f>93924</f>
        <v>93924</v>
      </c>
      <c r="AG6" s="4">
        <f aca="true" t="shared" si="8" ref="AG6:AG11">AH6/AF6</f>
        <v>6.40514000681402</v>
      </c>
      <c r="AH6" s="5">
        <f>601596.37</f>
        <v>601596.37</v>
      </c>
      <c r="AI6" s="5">
        <v>105874</v>
      </c>
      <c r="AJ6" s="4">
        <f>AK6/AI6</f>
        <v>6.378600034002683</v>
      </c>
      <c r="AK6" s="5">
        <v>675327.9</v>
      </c>
      <c r="AL6" s="5">
        <v>82480</v>
      </c>
      <c r="AM6" s="4">
        <f>AN6/AL6</f>
        <v>6.243919980601358</v>
      </c>
      <c r="AN6" s="5">
        <v>514998.52</v>
      </c>
    </row>
    <row r="7" spans="1:40" s="1" customFormat="1" ht="44.25" customHeight="1">
      <c r="A7" s="7"/>
      <c r="B7" s="39"/>
      <c r="C7" s="42"/>
      <c r="D7" s="36" t="s">
        <v>7</v>
      </c>
      <c r="E7" s="5">
        <f>148021+33735+53148+22808</f>
        <v>257712</v>
      </c>
      <c r="F7" s="4">
        <f t="shared" si="0"/>
        <v>3.4333691097038552</v>
      </c>
      <c r="G7" s="2">
        <f>488469.3+77871.62+244923.7+73555.8</f>
        <v>884820.4199999999</v>
      </c>
      <c r="H7" s="5">
        <f>146181+26998+44760+16041</f>
        <v>233980</v>
      </c>
      <c r="I7" s="4">
        <f t="shared" si="1"/>
        <v>3.430715873151551</v>
      </c>
      <c r="J7" s="2">
        <f>482397.3+62320.38+206269+51732.22</f>
        <v>802718.8999999999</v>
      </c>
      <c r="K7" s="5">
        <f>128858+35564+27630+18707</f>
        <v>210759</v>
      </c>
      <c r="L7" s="18">
        <f t="shared" si="2"/>
        <v>3.2975260368477737</v>
      </c>
      <c r="M7" s="2">
        <f>425231.4+82093.57+127328.25+60330.07</f>
        <v>694983.2899999999</v>
      </c>
      <c r="N7" s="3">
        <f>128858+35564+27630+18707</f>
        <v>210759</v>
      </c>
      <c r="O7" s="4">
        <f aca="true" t="shared" si="9" ref="O7:O13">P7/N7</f>
        <v>3.2975260368477737</v>
      </c>
      <c r="P7" s="2">
        <f>425231.4+82093.57+127328.25+60330.07</f>
        <v>694983.2899999999</v>
      </c>
      <c r="Q7" s="3">
        <f>97997+14905+19989+9309</f>
        <v>142200</v>
      </c>
      <c r="R7" s="4">
        <f t="shared" si="3"/>
        <v>3.3750583684950777</v>
      </c>
      <c r="S7" s="2">
        <f>323390.1+34405.71+92115.97+30021.52</f>
        <v>479933.30000000005</v>
      </c>
      <c r="T7" s="3">
        <f>115275+29996+34257+15180</f>
        <v>194708</v>
      </c>
      <c r="U7" s="4">
        <f t="shared" si="4"/>
        <v>3.371568913449884</v>
      </c>
      <c r="V7" s="2">
        <f>380407.5+69240.77+157867.67+48955.5</f>
        <v>656471.4400000001</v>
      </c>
      <c r="W7" s="5">
        <f>104755+19099+42412+17693</f>
        <v>183959</v>
      </c>
      <c r="X7" s="4">
        <f t="shared" si="5"/>
        <v>3.6272573236427683</v>
      </c>
      <c r="Y7" s="5">
        <f>358785.87+45837.6+203224.17+59418.99</f>
        <v>667266.63</v>
      </c>
      <c r="Z7" s="5">
        <f>97952+18916+37510+14675</f>
        <v>169053</v>
      </c>
      <c r="AA7" s="4">
        <f t="shared" si="6"/>
        <v>3.6077618261728577</v>
      </c>
      <c r="AB7" s="5">
        <f>335485.6+45398.4+179735.42+49283.54</f>
        <v>609902.9600000001</v>
      </c>
      <c r="AC7" s="5">
        <f>111057+15264+26576+11309</f>
        <v>164206</v>
      </c>
      <c r="AD7" s="4">
        <f t="shared" si="7"/>
        <v>3.5463170651498723</v>
      </c>
      <c r="AE7" s="4">
        <f>380370.22+36633.6+127343.33+37979.39</f>
        <v>582326.5399999999</v>
      </c>
      <c r="AF7" s="5">
        <f>110734+15938+31979+12551</f>
        <v>171202</v>
      </c>
      <c r="AG7" s="4">
        <f t="shared" si="8"/>
        <v>3.5799716124811627</v>
      </c>
      <c r="AH7" s="5">
        <f>379263.95+38251.2+153232.71+42150.44</f>
        <v>612898.3</v>
      </c>
      <c r="AI7" s="5">
        <f>114478+16345+41167+12024</f>
        <v>184014</v>
      </c>
      <c r="AJ7" s="4">
        <f>AK7/AI7</f>
        <v>3.6353445390024675</v>
      </c>
      <c r="AK7" s="5">
        <f>392087.15+39228+197258.54+40380.6</f>
        <v>668954.29</v>
      </c>
      <c r="AL7" s="5">
        <f>142174+36345+62503+17927</f>
        <v>258949</v>
      </c>
      <c r="AM7" s="4">
        <f>AN7/AL7</f>
        <v>3.6063948113335056</v>
      </c>
      <c r="AN7" s="5">
        <f>486945.95+87228+299493.54+60204.84</f>
        <v>933872.33</v>
      </c>
    </row>
    <row r="8" spans="1:40" s="1" customFormat="1" ht="36.75" customHeight="1">
      <c r="A8" s="7"/>
      <c r="B8" s="39"/>
      <c r="C8" s="42" t="s">
        <v>8</v>
      </c>
      <c r="D8" s="36" t="s">
        <v>6</v>
      </c>
      <c r="E8" s="5">
        <f>135209+1+14369</f>
        <v>149579</v>
      </c>
      <c r="F8" s="4">
        <f t="shared" si="0"/>
        <v>7.227435134611142</v>
      </c>
      <c r="G8" s="2">
        <f>948134.18+7.01+132931.33</f>
        <v>1081072.52</v>
      </c>
      <c r="H8" s="5">
        <f>142540</f>
        <v>142540</v>
      </c>
      <c r="I8" s="4">
        <f t="shared" si="1"/>
        <v>7.183509962115897</v>
      </c>
      <c r="J8" s="2">
        <f>1023930.33+7.18</f>
        <v>1023937.51</v>
      </c>
      <c r="K8" s="5">
        <f>124706</f>
        <v>124706</v>
      </c>
      <c r="L8" s="18">
        <f t="shared" si="2"/>
        <v>6.914300033679213</v>
      </c>
      <c r="M8" s="2">
        <f>862254.7</f>
        <v>862254.7</v>
      </c>
      <c r="N8" s="3">
        <v>124706</v>
      </c>
      <c r="O8" s="4">
        <f t="shared" si="9"/>
        <v>6.914300033679213</v>
      </c>
      <c r="P8" s="2">
        <v>862254.7</v>
      </c>
      <c r="Q8" s="3">
        <v>101076</v>
      </c>
      <c r="R8" s="4">
        <f t="shared" si="3"/>
        <v>6.788870058174048</v>
      </c>
      <c r="S8" s="2">
        <f>686185.04+6.79</f>
        <v>686191.8300000001</v>
      </c>
      <c r="T8" s="3">
        <f>151635</f>
        <v>151635</v>
      </c>
      <c r="U8" s="4">
        <f t="shared" si="4"/>
        <v>6.996629999670261</v>
      </c>
      <c r="V8" s="2">
        <f>1060933.99</f>
        <v>1060933.99</v>
      </c>
      <c r="W8" s="5">
        <v>168203</v>
      </c>
      <c r="X8" s="4">
        <f t="shared" si="5"/>
        <v>7.293849990784944</v>
      </c>
      <c r="Y8" s="5">
        <f>1226840.16+7.29</f>
        <v>1226847.45</v>
      </c>
      <c r="Z8" s="5">
        <f>176217</f>
        <v>176217</v>
      </c>
      <c r="AA8" s="4">
        <f t="shared" si="6"/>
        <v>7.285570007434016</v>
      </c>
      <c r="AB8" s="5">
        <f>1283834+7.29</f>
        <v>1283841.29</v>
      </c>
      <c r="AC8" s="5">
        <f>164978</f>
        <v>164978</v>
      </c>
      <c r="AD8" s="4">
        <f t="shared" si="7"/>
        <v>7.389110002545793</v>
      </c>
      <c r="AE8" s="4">
        <f>1219033.2+7.39</f>
        <v>1219040.5899999999</v>
      </c>
      <c r="AF8" s="5">
        <f>136132</f>
        <v>136132</v>
      </c>
      <c r="AG8" s="4">
        <f t="shared" si="8"/>
        <v>7.158119986483706</v>
      </c>
      <c r="AH8" s="5">
        <f>974449.19</f>
        <v>974449.19</v>
      </c>
      <c r="AI8" s="5">
        <v>162826</v>
      </c>
      <c r="AJ8" s="4">
        <f>AK8/AI8</f>
        <v>7.13157996880105</v>
      </c>
      <c r="AK8" s="5">
        <f>1161192.38+14.26</f>
        <v>1161206.64</v>
      </c>
      <c r="AL8" s="5">
        <v>143339</v>
      </c>
      <c r="AM8" s="4">
        <f>AN8/AL8</f>
        <v>6.996900006278822</v>
      </c>
      <c r="AN8" s="5">
        <v>1002928.65</v>
      </c>
    </row>
    <row r="9" spans="1:40" s="1" customFormat="1" ht="42.75" customHeight="1">
      <c r="A9" s="7"/>
      <c r="B9" s="39"/>
      <c r="C9" s="42"/>
      <c r="D9" s="36" t="s">
        <v>7</v>
      </c>
      <c r="E9" s="5">
        <f>454+8831</f>
        <v>9285</v>
      </c>
      <c r="F9" s="4">
        <f t="shared" si="0"/>
        <v>4.5443607969843836</v>
      </c>
      <c r="G9" s="2">
        <f>1498.2+40696.19</f>
        <v>42194.39</v>
      </c>
      <c r="H9" s="5">
        <f>604+4677</f>
        <v>5281</v>
      </c>
      <c r="I9" s="4">
        <f t="shared" si="1"/>
        <v>4.45869532285552</v>
      </c>
      <c r="J9" s="2">
        <f>1993.2+21553.17</f>
        <v>23546.37</v>
      </c>
      <c r="K9" s="5">
        <f>428+4228</f>
        <v>4656</v>
      </c>
      <c r="L9" s="18">
        <f t="shared" si="2"/>
        <v>4.488064862542956</v>
      </c>
      <c r="M9" s="2">
        <f>1412.4+19484.03</f>
        <v>20896.43</v>
      </c>
      <c r="N9" s="3">
        <f>428+4228</f>
        <v>4656</v>
      </c>
      <c r="O9" s="4">
        <f t="shared" si="9"/>
        <v>4.488064862542956</v>
      </c>
      <c r="P9" s="2">
        <f>1412.4+19484.03</f>
        <v>20896.43</v>
      </c>
      <c r="Q9" s="3">
        <f>414+2894</f>
        <v>3308</v>
      </c>
      <c r="R9" s="4">
        <f t="shared" si="3"/>
        <v>4.44459492140266</v>
      </c>
      <c r="S9" s="2">
        <f>(1366.2+13336.52)</f>
        <v>14702.720000000001</v>
      </c>
      <c r="T9" s="3">
        <f>481+1626</f>
        <v>2107</v>
      </c>
      <c r="U9" s="4">
        <f t="shared" si="4"/>
        <v>4.309658281917417</v>
      </c>
      <c r="V9" s="2">
        <f>1587.3+7493.15</f>
        <v>9080.449999999999</v>
      </c>
      <c r="W9" s="5">
        <f>408+2680</f>
        <v>3088</v>
      </c>
      <c r="X9" s="4">
        <f t="shared" si="5"/>
        <v>4.611097797927461</v>
      </c>
      <c r="Y9" s="5">
        <f>1397.4+12841.67</f>
        <v>14239.07</v>
      </c>
      <c r="Z9" s="5">
        <f>385+2238</f>
        <v>2623</v>
      </c>
      <c r="AA9" s="4">
        <f t="shared" si="6"/>
        <v>4.5910674799847495</v>
      </c>
      <c r="AB9" s="5">
        <f>1318.62+10723.75</f>
        <v>12042.369999999999</v>
      </c>
      <c r="AC9" s="5">
        <f>482+2825</f>
        <v>3307</v>
      </c>
      <c r="AD9" s="4">
        <f t="shared" si="7"/>
        <v>4.592473540973692</v>
      </c>
      <c r="AE9" s="4">
        <f>1650.85+13536.46</f>
        <v>15187.31</v>
      </c>
      <c r="AF9" s="5">
        <f>308+1665</f>
        <v>1973</v>
      </c>
      <c r="AG9" s="4">
        <f t="shared" si="8"/>
        <v>4.578317283324886</v>
      </c>
      <c r="AH9" s="5">
        <f>1054.9+7978.12</f>
        <v>9033.02</v>
      </c>
      <c r="AI9" s="5">
        <f>573+2918</f>
        <v>3491</v>
      </c>
      <c r="AJ9" s="4">
        <f>AK9/AI9</f>
        <v>4.567344600401031</v>
      </c>
      <c r="AK9" s="5">
        <f>1962.52+13982.08</f>
        <v>15944.6</v>
      </c>
      <c r="AL9" s="5">
        <f>711+5572</f>
        <v>6283</v>
      </c>
      <c r="AM9" s="4">
        <f>AN9/AL9</f>
        <v>4.63701098201496</v>
      </c>
      <c r="AN9" s="5">
        <f>2435.17+26699.17</f>
        <v>29134.339999999997</v>
      </c>
    </row>
    <row r="10" spans="1:45" s="1" customFormat="1" ht="42.75" customHeight="1">
      <c r="A10" s="7"/>
      <c r="B10" s="40"/>
      <c r="C10" s="35" t="s">
        <v>23</v>
      </c>
      <c r="D10" s="36" t="s">
        <v>6</v>
      </c>
      <c r="E10" s="5">
        <f>22</f>
        <v>22</v>
      </c>
      <c r="F10" s="4">
        <f t="shared" si="0"/>
        <v>6.017272727272727</v>
      </c>
      <c r="G10" s="2">
        <f>132.38</f>
        <v>132.38</v>
      </c>
      <c r="H10" s="5">
        <v>20</v>
      </c>
      <c r="I10" s="4">
        <f t="shared" si="1"/>
        <v>6.1884999999999994</v>
      </c>
      <c r="J10" s="2">
        <v>123.77</v>
      </c>
      <c r="K10" s="5">
        <v>22</v>
      </c>
      <c r="L10" s="18">
        <f t="shared" si="2"/>
        <v>5.919090909090909</v>
      </c>
      <c r="M10" s="2">
        <v>130.22</v>
      </c>
      <c r="N10" s="3">
        <v>22</v>
      </c>
      <c r="O10" s="4">
        <f t="shared" si="9"/>
        <v>5.919090909090909</v>
      </c>
      <c r="P10" s="2">
        <v>130.22</v>
      </c>
      <c r="Q10" s="3">
        <v>22</v>
      </c>
      <c r="R10" s="4">
        <f t="shared" si="3"/>
        <v>5.793636363636363</v>
      </c>
      <c r="S10" s="2">
        <f>127.46</f>
        <v>127.46</v>
      </c>
      <c r="T10" s="3">
        <v>21</v>
      </c>
      <c r="U10" s="4">
        <f t="shared" si="4"/>
        <v>6.001428571428572</v>
      </c>
      <c r="V10" s="2">
        <v>126.03</v>
      </c>
      <c r="W10" s="5">
        <v>22</v>
      </c>
      <c r="X10" s="4">
        <f t="shared" si="5"/>
        <v>6.27</v>
      </c>
      <c r="Y10" s="5">
        <v>137.94</v>
      </c>
      <c r="Z10" s="5">
        <v>22</v>
      </c>
      <c r="AA10" s="4">
        <f t="shared" si="6"/>
        <v>6.261818181818182</v>
      </c>
      <c r="AB10" s="5">
        <v>137.76</v>
      </c>
      <c r="AC10" s="5">
        <v>21</v>
      </c>
      <c r="AD10" s="4">
        <f t="shared" si="7"/>
        <v>6.3652380952380945</v>
      </c>
      <c r="AE10" s="4">
        <v>133.67</v>
      </c>
      <c r="AF10" s="5">
        <f>22</f>
        <v>22</v>
      </c>
      <c r="AG10" s="4">
        <f t="shared" si="8"/>
        <v>6.134090909090909</v>
      </c>
      <c r="AH10" s="5">
        <f>134.95</f>
        <v>134.95</v>
      </c>
      <c r="AI10" s="5">
        <v>21</v>
      </c>
      <c r="AJ10" s="4">
        <f>AK10/AI10</f>
        <v>6.107619047619047</v>
      </c>
      <c r="AK10" s="5">
        <v>128.26</v>
      </c>
      <c r="AL10" s="5">
        <v>22</v>
      </c>
      <c r="AM10" s="4">
        <f>AN10/AL10</f>
        <v>5.973181818181818</v>
      </c>
      <c r="AN10" s="5">
        <v>131.41</v>
      </c>
      <c r="AO10" s="30"/>
      <c r="AP10" s="31"/>
      <c r="AQ10" s="31"/>
      <c r="AR10" s="31"/>
      <c r="AS10" s="31"/>
    </row>
    <row r="11" spans="1:40" s="1" customFormat="1" ht="30" customHeight="1">
      <c r="A11" s="7"/>
      <c r="B11" s="38" t="s">
        <v>24</v>
      </c>
      <c r="C11" s="41" t="s">
        <v>9</v>
      </c>
      <c r="D11" s="37" t="s">
        <v>6</v>
      </c>
      <c r="E11" s="5">
        <f>1515812+197201+332993+153940+22352</f>
        <v>2222298</v>
      </c>
      <c r="F11" s="4">
        <f t="shared" si="0"/>
        <v>6.018557268197155</v>
      </c>
      <c r="G11" s="2">
        <f>9240215.64+1161394.58+1919677.48+913949.93+139790.15</f>
        <v>13375027.780000001</v>
      </c>
      <c r="H11" s="5">
        <f>1386408+155358+267224+128260+9788</f>
        <v>1947038</v>
      </c>
      <c r="I11" s="4">
        <f t="shared" si="1"/>
        <v>6.188906071684271</v>
      </c>
      <c r="J11" s="2">
        <f>8688667.43+941554.15+1577244.05+782325.07+60244.6</f>
        <v>12050035.3</v>
      </c>
      <c r="K11" s="21">
        <f>1219655+133695+250047+115680+1498</f>
        <v>1720575</v>
      </c>
      <c r="L11" s="4">
        <f t="shared" si="2"/>
        <v>5.934428874068262</v>
      </c>
      <c r="M11" s="2">
        <f>7315277.24+774272.53+1426940.3+685438.37+8701.52</f>
        <v>10210629.959999999</v>
      </c>
      <c r="N11" s="5">
        <f>937576+106906+299235+120360</f>
        <v>1464077</v>
      </c>
      <c r="O11" s="4">
        <f t="shared" si="9"/>
        <v>5.837224339976655</v>
      </c>
      <c r="P11" s="2">
        <f>5642533.95+621308.27+1599068.03+683235.65</f>
        <v>8546145.9</v>
      </c>
      <c r="Q11" s="5">
        <f>599321+57559+135875+17760</f>
        <v>810515</v>
      </c>
      <c r="R11" s="4">
        <f t="shared" si="3"/>
        <v>5.783921852155728</v>
      </c>
      <c r="S11" s="2">
        <f>(3519449.66+326123.82+740371.82+102010.12)</f>
        <v>4687955.42</v>
      </c>
      <c r="T11" s="5">
        <f>1080228-228401</f>
        <v>851827</v>
      </c>
      <c r="U11" s="4">
        <f t="shared" si="4"/>
        <v>5.988316958725187</v>
      </c>
      <c r="V11" s="2">
        <f>6656858.22-V13</f>
        <v>5101010.07</v>
      </c>
      <c r="W11" s="5">
        <f>864824+72874+123214+10800</f>
        <v>1071712</v>
      </c>
      <c r="X11" s="4">
        <f t="shared" si="5"/>
        <v>6.273254456421128</v>
      </c>
      <c r="Y11" s="5">
        <f>5496955.39+448150.69+713138.67+64877.33</f>
        <v>6723122.08</v>
      </c>
      <c r="Z11" s="5">
        <f>797942+71662+129860+14760</f>
        <v>1014224</v>
      </c>
      <c r="AA11" s="4">
        <f t="shared" si="6"/>
        <v>6.264377938206945</v>
      </c>
      <c r="AB11" s="5">
        <f>5065236.14+440103.94+757422.99+90719.38</f>
        <v>6353482.45</v>
      </c>
      <c r="AC11" s="5">
        <f>783713+53353+137437+16380</f>
        <v>990883</v>
      </c>
      <c r="AD11" s="4">
        <f t="shared" si="7"/>
        <v>6.352242817769605</v>
      </c>
      <c r="AE11" s="5">
        <f>5056057.75+333185.49+805189.38+99896.8</f>
        <v>6294329.42</v>
      </c>
      <c r="AF11" s="5">
        <f>817724+145972+184566+45720</f>
        <v>1193982</v>
      </c>
      <c r="AG11" s="4">
        <f t="shared" si="8"/>
        <v>6.115603292176934</v>
      </c>
      <c r="AH11" s="5">
        <f>5086590.88+877866.12+1063798.83+273664.42</f>
        <v>7301920.25</v>
      </c>
      <c r="AI11" s="5">
        <f>1999010-257098</f>
        <v>1741912</v>
      </c>
      <c r="AJ11" s="4">
        <f>AK11/AI11</f>
        <v>6.081626706745231</v>
      </c>
      <c r="AK11" s="5">
        <f>12379683.61-AK13</f>
        <v>10593658.54</v>
      </c>
      <c r="AL11" s="5">
        <f>2131678-269892</f>
        <v>1861786</v>
      </c>
      <c r="AM11" s="4">
        <f>AN11/AL11</f>
        <v>5.990662476783046</v>
      </c>
      <c r="AN11" s="5">
        <f>12991885.8-1838554.27</f>
        <v>11153331.530000001</v>
      </c>
    </row>
    <row r="12" spans="1:40" s="1" customFormat="1" ht="39.75" customHeight="1">
      <c r="A12" s="7"/>
      <c r="B12" s="39"/>
      <c r="C12" s="41"/>
      <c r="D12" s="11" t="s">
        <v>7</v>
      </c>
      <c r="E12" s="5" t="s">
        <v>10</v>
      </c>
      <c r="F12" s="4" t="s">
        <v>10</v>
      </c>
      <c r="G12" s="2" t="s">
        <v>10</v>
      </c>
      <c r="H12" s="5" t="s">
        <v>10</v>
      </c>
      <c r="I12" s="4" t="s">
        <v>10</v>
      </c>
      <c r="J12" s="2" t="s">
        <v>10</v>
      </c>
      <c r="K12" s="21" t="s">
        <v>10</v>
      </c>
      <c r="L12" s="4" t="s">
        <v>10</v>
      </c>
      <c r="M12" s="2" t="s">
        <v>10</v>
      </c>
      <c r="N12" s="5" t="s">
        <v>10</v>
      </c>
      <c r="O12" s="4" t="s">
        <v>10</v>
      </c>
      <c r="P12" s="2" t="s">
        <v>10</v>
      </c>
      <c r="Q12" s="5" t="s">
        <v>10</v>
      </c>
      <c r="R12" s="4" t="s">
        <v>10</v>
      </c>
      <c r="S12" s="2" t="s">
        <v>10</v>
      </c>
      <c r="T12" s="5" t="s">
        <v>10</v>
      </c>
      <c r="U12" s="4" t="s">
        <v>10</v>
      </c>
      <c r="V12" s="2" t="s">
        <v>10</v>
      </c>
      <c r="W12" s="5" t="s">
        <v>10</v>
      </c>
      <c r="X12" s="5" t="s">
        <v>10</v>
      </c>
      <c r="Y12" s="5" t="s">
        <v>10</v>
      </c>
      <c r="Z12" s="5" t="s">
        <v>10</v>
      </c>
      <c r="AA12" s="4" t="s">
        <v>10</v>
      </c>
      <c r="AB12" s="5" t="s">
        <v>10</v>
      </c>
      <c r="AC12" s="5" t="s">
        <v>10</v>
      </c>
      <c r="AD12" s="4" t="s">
        <v>10</v>
      </c>
      <c r="AE12" s="5" t="s">
        <v>10</v>
      </c>
      <c r="AF12" s="5" t="s">
        <v>10</v>
      </c>
      <c r="AG12" s="4" t="s">
        <v>10</v>
      </c>
      <c r="AH12" s="5" t="s">
        <v>10</v>
      </c>
      <c r="AI12" s="5" t="s">
        <v>10</v>
      </c>
      <c r="AJ12" s="4" t="s">
        <v>10</v>
      </c>
      <c r="AK12" s="5" t="s">
        <v>10</v>
      </c>
      <c r="AL12" s="5" t="s">
        <v>10</v>
      </c>
      <c r="AM12" s="4" t="s">
        <v>10</v>
      </c>
      <c r="AN12" s="5" t="s">
        <v>10</v>
      </c>
    </row>
    <row r="13" spans="1:42" s="1" customFormat="1" ht="30" customHeight="1">
      <c r="A13" s="7"/>
      <c r="B13" s="39"/>
      <c r="C13" s="41" t="s">
        <v>8</v>
      </c>
      <c r="D13" s="20" t="s">
        <v>6</v>
      </c>
      <c r="E13" s="5">
        <v>376632</v>
      </c>
      <c r="F13" s="4">
        <f>G13/E13</f>
        <v>6.827645048747849</v>
      </c>
      <c r="G13" s="2">
        <v>2571509.61</v>
      </c>
      <c r="H13" s="5">
        <f>309257</f>
        <v>309257</v>
      </c>
      <c r="I13" s="4">
        <f>J13/H13</f>
        <v>6.998795047484777</v>
      </c>
      <c r="J13" s="2">
        <v>2164426.36</v>
      </c>
      <c r="K13" s="21">
        <v>300147</v>
      </c>
      <c r="L13" s="4">
        <f>M13/K13</f>
        <v>6.729585069982376</v>
      </c>
      <c r="M13" s="2">
        <v>2019864.77</v>
      </c>
      <c r="N13" s="5">
        <f>213935</f>
        <v>213935</v>
      </c>
      <c r="O13" s="4">
        <f t="shared" si="9"/>
        <v>6.749975132633743</v>
      </c>
      <c r="P13" s="2">
        <v>1444055.93</v>
      </c>
      <c r="Q13" s="5">
        <v>177658</v>
      </c>
      <c r="R13" s="4">
        <f>S13/Q13</f>
        <v>6.60415500568508</v>
      </c>
      <c r="S13" s="2">
        <f>1173280.97</f>
        <v>1173280.97</v>
      </c>
      <c r="T13" s="5">
        <v>228401</v>
      </c>
      <c r="U13" s="4">
        <f>V13/T13</f>
        <v>6.811914790215454</v>
      </c>
      <c r="V13" s="2">
        <v>1555848.15</v>
      </c>
      <c r="W13" s="5">
        <f>281919</f>
        <v>281919</v>
      </c>
      <c r="X13" s="4">
        <f>Y13/W13</f>
        <v>7.109135177125345</v>
      </c>
      <c r="Y13" s="5">
        <f>2004200.28</f>
        <v>2004200.28</v>
      </c>
      <c r="Z13" s="5">
        <f>283094</f>
        <v>283094</v>
      </c>
      <c r="AA13" s="4">
        <f>AB13/Z13</f>
        <v>7.100854804411255</v>
      </c>
      <c r="AB13" s="5">
        <f>2010209.39</f>
        <v>2010209.39</v>
      </c>
      <c r="AC13" s="5">
        <f>269977</f>
        <v>269977</v>
      </c>
      <c r="AD13" s="4">
        <f>AE13/AC13</f>
        <v>7.204395004018861</v>
      </c>
      <c r="AE13" s="5">
        <f>1945020.95</f>
        <v>1945020.95</v>
      </c>
      <c r="AF13" s="5">
        <v>207289</v>
      </c>
      <c r="AG13" s="4">
        <f>AH13/AF13</f>
        <v>6.973404956365267</v>
      </c>
      <c r="AH13" s="5">
        <f>1445510.14</f>
        <v>1445510.14</v>
      </c>
      <c r="AI13" s="5">
        <v>257098</v>
      </c>
      <c r="AJ13" s="4">
        <f>AK13/AI13</f>
        <v>6.9468648919867135</v>
      </c>
      <c r="AK13" s="5">
        <v>1786025.07</v>
      </c>
      <c r="AL13" s="5">
        <v>269892</v>
      </c>
      <c r="AM13" s="4">
        <f>AN13/AL13</f>
        <v>6.8121851333125845</v>
      </c>
      <c r="AN13" s="5">
        <v>1838554.27</v>
      </c>
      <c r="AP13" s="30"/>
    </row>
    <row r="14" spans="1:40" s="1" customFormat="1" ht="39.75" customHeight="1">
      <c r="A14" s="7"/>
      <c r="B14" s="39"/>
      <c r="C14" s="41"/>
      <c r="D14" s="11" t="s">
        <v>7</v>
      </c>
      <c r="E14" s="5" t="s">
        <v>10</v>
      </c>
      <c r="F14" s="4" t="s">
        <v>10</v>
      </c>
      <c r="G14" s="5" t="s">
        <v>10</v>
      </c>
      <c r="H14" s="5" t="s">
        <v>10</v>
      </c>
      <c r="I14" s="4" t="s">
        <v>10</v>
      </c>
      <c r="J14" s="5" t="s">
        <v>10</v>
      </c>
      <c r="K14" s="21" t="s">
        <v>10</v>
      </c>
      <c r="L14" s="4" t="s">
        <v>10</v>
      </c>
      <c r="M14" s="5" t="s">
        <v>10</v>
      </c>
      <c r="N14" s="5" t="s">
        <v>10</v>
      </c>
      <c r="O14" s="4" t="s">
        <v>10</v>
      </c>
      <c r="P14" s="5" t="s">
        <v>10</v>
      </c>
      <c r="Q14" s="5" t="s">
        <v>10</v>
      </c>
      <c r="R14" s="4" t="s">
        <v>10</v>
      </c>
      <c r="S14" s="5" t="s">
        <v>10</v>
      </c>
      <c r="T14" s="5" t="s">
        <v>10</v>
      </c>
      <c r="U14" s="4" t="s">
        <v>10</v>
      </c>
      <c r="V14" s="2" t="s">
        <v>10</v>
      </c>
      <c r="W14" s="5" t="s">
        <v>10</v>
      </c>
      <c r="X14" s="5" t="s">
        <v>10</v>
      </c>
      <c r="Y14" s="5" t="s">
        <v>10</v>
      </c>
      <c r="Z14" s="5" t="s">
        <v>10</v>
      </c>
      <c r="AA14" s="4" t="s">
        <v>10</v>
      </c>
      <c r="AB14" s="5" t="s">
        <v>10</v>
      </c>
      <c r="AC14" s="5" t="s">
        <v>10</v>
      </c>
      <c r="AD14" s="4" t="s">
        <v>10</v>
      </c>
      <c r="AE14" s="5" t="s">
        <v>10</v>
      </c>
      <c r="AF14" s="5" t="s">
        <v>10</v>
      </c>
      <c r="AG14" s="4" t="s">
        <v>10</v>
      </c>
      <c r="AH14" s="5" t="s">
        <v>10</v>
      </c>
      <c r="AI14" s="5" t="s">
        <v>10</v>
      </c>
      <c r="AJ14" s="4" t="s">
        <v>10</v>
      </c>
      <c r="AK14" s="5" t="s">
        <v>10</v>
      </c>
      <c r="AL14" s="5" t="s">
        <v>10</v>
      </c>
      <c r="AM14" s="4" t="s">
        <v>10</v>
      </c>
      <c r="AN14" s="5" t="s">
        <v>10</v>
      </c>
    </row>
    <row r="15" spans="1:40" s="1" customFormat="1" ht="42.75" customHeight="1">
      <c r="A15" s="7"/>
      <c r="B15" s="40"/>
      <c r="C15" s="22" t="s">
        <v>23</v>
      </c>
      <c r="D15" s="25" t="s">
        <v>6</v>
      </c>
      <c r="E15" s="5" t="s">
        <v>10</v>
      </c>
      <c r="F15" s="4" t="s">
        <v>10</v>
      </c>
      <c r="G15" s="2" t="s">
        <v>10</v>
      </c>
      <c r="H15" s="5" t="s">
        <v>10</v>
      </c>
      <c r="I15" s="4" t="s">
        <v>10</v>
      </c>
      <c r="J15" s="5" t="s">
        <v>10</v>
      </c>
      <c r="K15" s="5" t="s">
        <v>10</v>
      </c>
      <c r="L15" s="5" t="s">
        <v>10</v>
      </c>
      <c r="M15" s="5" t="s">
        <v>10</v>
      </c>
      <c r="N15" s="5" t="s">
        <v>10</v>
      </c>
      <c r="O15" s="5" t="s">
        <v>10</v>
      </c>
      <c r="P15" s="5" t="s">
        <v>10</v>
      </c>
      <c r="Q15" s="5" t="s">
        <v>10</v>
      </c>
      <c r="R15" s="5" t="s">
        <v>10</v>
      </c>
      <c r="S15" s="5" t="s">
        <v>10</v>
      </c>
      <c r="T15" s="3" t="s">
        <v>10</v>
      </c>
      <c r="U15" s="4" t="s">
        <v>10</v>
      </c>
      <c r="V15" s="2" t="s">
        <v>10</v>
      </c>
      <c r="W15" s="5">
        <f>107136</f>
        <v>107136</v>
      </c>
      <c r="X15" s="4">
        <f>Y15/W15</f>
        <v>5.878775014934289</v>
      </c>
      <c r="Y15" s="5">
        <v>629828.44</v>
      </c>
      <c r="Z15" s="5">
        <f>48624</f>
        <v>48624</v>
      </c>
      <c r="AA15" s="4">
        <f>AB15/Z15</f>
        <v>5.870495023033893</v>
      </c>
      <c r="AB15" s="5">
        <f>285446.95</f>
        <v>285446.95</v>
      </c>
      <c r="AC15" s="5">
        <v>32736</v>
      </c>
      <c r="AD15" s="4">
        <f>AE15/AC15</f>
        <v>5.974035007331379</v>
      </c>
      <c r="AE15" s="4">
        <v>195566.01</v>
      </c>
      <c r="AF15" s="5">
        <v>41328</v>
      </c>
      <c r="AG15" s="4">
        <f>AH15/AF15</f>
        <v>5.743044909020519</v>
      </c>
      <c r="AH15" s="5">
        <f>237348.56</f>
        <v>237348.56</v>
      </c>
      <c r="AI15" s="5" t="s">
        <v>10</v>
      </c>
      <c r="AJ15" s="4" t="s">
        <v>10</v>
      </c>
      <c r="AK15" s="5" t="s">
        <v>10</v>
      </c>
      <c r="AL15" s="5" t="s">
        <v>10</v>
      </c>
      <c r="AM15" s="4" t="s">
        <v>10</v>
      </c>
      <c r="AN15" s="5" t="s">
        <v>10</v>
      </c>
    </row>
    <row r="16" ht="12.75">
      <c r="AE16" s="26"/>
    </row>
    <row r="17" ht="12.75">
      <c r="AB17" s="6"/>
    </row>
  </sheetData>
  <sheetProtection/>
  <mergeCells count="21">
    <mergeCell ref="AI4:AK4"/>
    <mergeCell ref="AL4:AN4"/>
    <mergeCell ref="N4:P4"/>
    <mergeCell ref="H4:J4"/>
    <mergeCell ref="Q4:S4"/>
    <mergeCell ref="AF4:AH4"/>
    <mergeCell ref="C6:C7"/>
    <mergeCell ref="T4:V4"/>
    <mergeCell ref="W4:Y4"/>
    <mergeCell ref="Z4:AB4"/>
    <mergeCell ref="AC4:AE4"/>
    <mergeCell ref="E4:G4"/>
    <mergeCell ref="B11:B15"/>
    <mergeCell ref="C11:C12"/>
    <mergeCell ref="C13:C14"/>
    <mergeCell ref="C8:C9"/>
    <mergeCell ref="K4:M4"/>
    <mergeCell ref="B4:B5"/>
    <mergeCell ref="B6:B10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 5</dc:creator>
  <cp:keywords/>
  <dc:description/>
  <cp:lastModifiedBy>Abon11</cp:lastModifiedBy>
  <dcterms:created xsi:type="dcterms:W3CDTF">2011-05-27T10:16:11Z</dcterms:created>
  <dcterms:modified xsi:type="dcterms:W3CDTF">2021-02-25T13:48:36Z</dcterms:modified>
  <cp:category/>
  <cp:version/>
  <cp:contentType/>
  <cp:contentStatus/>
</cp:coreProperties>
</file>