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400" windowHeight="12915" activeTab="0"/>
  </bookViews>
  <sheets>
    <sheet name="покупка 2019" sheetId="1" r:id="rId1"/>
  </sheets>
  <definedNames/>
  <calcPr fullCalcOnLoad="1"/>
</workbook>
</file>

<file path=xl/sharedStrings.xml><?xml version="1.0" encoding="utf-8"?>
<sst xmlns="http://schemas.openxmlformats.org/spreadsheetml/2006/main" count="172" uniqueCount="27">
  <si>
    <t>Гарантирующие поставщики</t>
  </si>
  <si>
    <t>Уровень напряжения</t>
  </si>
  <si>
    <t>Категория потребителей</t>
  </si>
  <si>
    <t>Кол-во, кВт*ч</t>
  </si>
  <si>
    <t>Цена, руб</t>
  </si>
  <si>
    <t>Стоимость (без НДС), руб</t>
  </si>
  <si>
    <t>По тарифам для прочих потребителей</t>
  </si>
  <si>
    <t>По тарифам для населения и приравненных к ним групп потребителей</t>
  </si>
  <si>
    <t>НН</t>
  </si>
  <si>
    <t>СН II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</si>
  <si>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</si>
  <si>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</si>
  <si>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</si>
  <si>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</si>
  <si>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</si>
  <si>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</si>
  <si>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</si>
  <si>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</si>
  <si>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</si>
  <si>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</si>
  <si>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</si>
  <si>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</si>
  <si>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</si>
  <si>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ПАО "ТНС Энерго Ростов-на-Дону"</t>
  </si>
  <si>
    <t>ВН</t>
  </si>
  <si>
    <t>ООО "Энергосбытовая компания "Энергостандарт"</t>
  </si>
  <si>
    <t>Информация об объемах покупки электрической энергии (мощности) на розничном рынке электрической энергии  в 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</si>
</sst>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0&quot;р.&quot;"/>
    <numFmt numFmtId="181" formatCode="0.0000000000"/>
    <numFmt numFmtId="182" formatCode="0.000000000"/>
    <numFmt numFmtId="183" formatCode="0.00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174" fontId="19" fillId="24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2" fontId="20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24" borderId="0" xfId="0" applyFont="1" applyFill="1" applyAlignment="1">
      <alignment/>
    </xf>
    <xf numFmtId="0" fontId="24" fillId="0" borderId="0" xfId="0" applyFont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4" fontId="19" fillId="24" borderId="10" xfId="0" applyNumberFormat="1" applyFont="1" applyFill="1" applyBorder="1" applyAlignment="1">
      <alignment horizontal="center" vertical="center"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24" borderId="10" xfId="53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4" xfId="53" applyFont="1" applyFill="1" applyBorder="1" applyAlignment="1">
      <alignment horizontal="center" vertical="center" wrapText="1"/>
      <protection/>
    </xf>
    <xf numFmtId="0" fontId="20" fillId="24" borderId="15" xfId="53" applyFont="1" applyFill="1" applyBorder="1" applyAlignment="1">
      <alignment horizontal="center" vertical="center" wrapText="1"/>
      <protection/>
    </xf>
    <xf numFmtId="0" fontId="20" fillId="24" borderId="16" xfId="53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опия ЦЭС_2010 итог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6"/>
  <sheetViews>
    <sheetView tabSelected="1" zoomScalePageLayoutView="0" workbookViewId="0" topLeftCell="B1">
      <selection activeCell="I9" sqref="I9"/>
    </sheetView>
  </sheetViews>
  <sheetFormatPr defaultColWidth="9.140625" defaultRowHeight="12.75"/>
  <cols>
    <col min="1" max="1" width="0" style="6" hidden="1" customWidth="1"/>
    <col min="2" max="2" width="16.8515625" style="6" customWidth="1"/>
    <col min="3" max="3" width="12.421875" style="6" customWidth="1"/>
    <col min="4" max="4" width="27.421875" style="6" customWidth="1"/>
    <col min="5" max="6" width="9.140625" style="7" customWidth="1"/>
    <col min="7" max="7" width="12.57421875" style="7" customWidth="1"/>
    <col min="8" max="9" width="9.140625" style="7" customWidth="1"/>
    <col min="10" max="10" width="11.57421875" style="7" customWidth="1"/>
    <col min="11" max="12" width="9.140625" style="7" customWidth="1"/>
    <col min="13" max="13" width="11.8515625" style="7" customWidth="1"/>
    <col min="14" max="15" width="9.140625" style="7" customWidth="1"/>
    <col min="16" max="16" width="12.7109375" style="7" customWidth="1"/>
    <col min="17" max="18" width="9.140625" style="6" customWidth="1"/>
    <col min="19" max="19" width="10.00390625" style="6" customWidth="1"/>
    <col min="20" max="21" width="9.140625" style="6" customWidth="1"/>
    <col min="22" max="22" width="10.7109375" style="6" customWidth="1"/>
    <col min="23" max="24" width="9.140625" style="6" customWidth="1"/>
    <col min="25" max="25" width="10.8515625" style="6" customWidth="1"/>
    <col min="26" max="27" width="9.140625" style="6" customWidth="1"/>
    <col min="28" max="40" width="10.7109375" style="0" customWidth="1"/>
  </cols>
  <sheetData>
    <row r="2" spans="1:27" s="15" customFormat="1" ht="15">
      <c r="A2" s="12"/>
      <c r="B2" s="13" t="s">
        <v>26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2:4" ht="12.75">
      <c r="B3" s="9"/>
      <c r="C3" s="9"/>
      <c r="D3" s="9"/>
    </row>
    <row r="4" spans="1:40" s="26" customFormat="1" ht="17.25" customHeight="1">
      <c r="A4" s="25"/>
      <c r="B4" s="34" t="s">
        <v>0</v>
      </c>
      <c r="C4" s="34" t="s">
        <v>1</v>
      </c>
      <c r="D4" s="34" t="s">
        <v>2</v>
      </c>
      <c r="E4" s="31" t="s">
        <v>11</v>
      </c>
      <c r="F4" s="32"/>
      <c r="G4" s="33"/>
      <c r="H4" s="31" t="s">
        <v>12</v>
      </c>
      <c r="I4" s="32"/>
      <c r="J4" s="33"/>
      <c r="K4" s="30" t="s">
        <v>13</v>
      </c>
      <c r="L4" s="30"/>
      <c r="M4" s="30"/>
      <c r="N4" s="30" t="s">
        <v>14</v>
      </c>
      <c r="O4" s="30"/>
      <c r="P4" s="30"/>
      <c r="Q4" s="30" t="s">
        <v>15</v>
      </c>
      <c r="R4" s="30"/>
      <c r="S4" s="30"/>
      <c r="T4" s="30" t="s">
        <v>16</v>
      </c>
      <c r="U4" s="30"/>
      <c r="V4" s="30"/>
      <c r="W4" s="30" t="s">
        <v>17</v>
      </c>
      <c r="X4" s="30"/>
      <c r="Y4" s="30"/>
      <c r="Z4" s="30" t="s">
        <v>18</v>
      </c>
      <c r="AA4" s="30"/>
      <c r="AB4" s="30"/>
      <c r="AC4" s="29" t="s">
        <v>19</v>
      </c>
      <c r="AD4" s="29"/>
      <c r="AE4" s="29"/>
      <c r="AF4" s="29" t="s">
        <v>20</v>
      </c>
      <c r="AG4" s="29"/>
      <c r="AH4" s="29"/>
      <c r="AI4" s="29" t="s">
        <v>21</v>
      </c>
      <c r="AJ4" s="29"/>
      <c r="AK4" s="29"/>
      <c r="AL4" s="29" t="s">
        <v>22</v>
      </c>
      <c r="AM4" s="29"/>
      <c r="AN4" s="29"/>
    </row>
    <row r="5" spans="2:40" ht="38.25">
      <c r="B5" s="34"/>
      <c r="C5" s="34"/>
      <c r="D5" s="34"/>
      <c r="E5" s="8" t="s">
        <v>3</v>
      </c>
      <c r="F5" s="8" t="s">
        <v>4</v>
      </c>
      <c r="G5" s="10" t="s">
        <v>5</v>
      </c>
      <c r="H5" s="8" t="s">
        <v>3</v>
      </c>
      <c r="I5" s="8" t="s">
        <v>4</v>
      </c>
      <c r="J5" s="10" t="s">
        <v>5</v>
      </c>
      <c r="K5" s="16" t="s">
        <v>3</v>
      </c>
      <c r="L5" s="16" t="s">
        <v>4</v>
      </c>
      <c r="M5" s="10" t="s">
        <v>5</v>
      </c>
      <c r="N5" s="16" t="s">
        <v>3</v>
      </c>
      <c r="O5" s="16" t="s">
        <v>4</v>
      </c>
      <c r="P5" s="10" t="s">
        <v>5</v>
      </c>
      <c r="Q5" s="17" t="s">
        <v>3</v>
      </c>
      <c r="R5" s="17" t="s">
        <v>4</v>
      </c>
      <c r="S5" s="10" t="s">
        <v>5</v>
      </c>
      <c r="T5" s="17" t="s">
        <v>3</v>
      </c>
      <c r="U5" s="17" t="s">
        <v>4</v>
      </c>
      <c r="V5" s="10" t="s">
        <v>5</v>
      </c>
      <c r="W5" s="17" t="s">
        <v>3</v>
      </c>
      <c r="X5" s="17" t="s">
        <v>4</v>
      </c>
      <c r="Y5" s="10" t="s">
        <v>5</v>
      </c>
      <c r="Z5" s="17" t="s">
        <v>3</v>
      </c>
      <c r="AA5" s="17" t="s">
        <v>4</v>
      </c>
      <c r="AB5" s="10" t="s">
        <v>5</v>
      </c>
      <c r="AC5" s="19" t="s">
        <v>3</v>
      </c>
      <c r="AD5" s="19" t="s">
        <v>4</v>
      </c>
      <c r="AE5" s="10" t="s">
        <v>5</v>
      </c>
      <c r="AF5" s="19" t="s">
        <v>3</v>
      </c>
      <c r="AG5" s="19" t="s">
        <v>4</v>
      </c>
      <c r="AH5" s="10" t="s">
        <v>5</v>
      </c>
      <c r="AI5" s="19" t="s">
        <v>3</v>
      </c>
      <c r="AJ5" s="19" t="s">
        <v>4</v>
      </c>
      <c r="AK5" s="10" t="s">
        <v>5</v>
      </c>
      <c r="AL5" s="19" t="s">
        <v>3</v>
      </c>
      <c r="AM5" s="19" t="s">
        <v>4</v>
      </c>
      <c r="AN5" s="10" t="s">
        <v>5</v>
      </c>
    </row>
    <row r="6" spans="1:40" s="1" customFormat="1" ht="26.25" customHeight="1">
      <c r="A6" s="7"/>
      <c r="B6" s="36" t="s">
        <v>23</v>
      </c>
      <c r="C6" s="35" t="s">
        <v>9</v>
      </c>
      <c r="D6" s="8" t="s">
        <v>6</v>
      </c>
      <c r="E6" s="24">
        <v>67441</v>
      </c>
      <c r="F6" s="4">
        <f aca="true" t="shared" si="0" ref="F6:F11">G6/E6</f>
        <v>5.750119956702896</v>
      </c>
      <c r="G6" s="24">
        <v>387793.84</v>
      </c>
      <c r="H6" s="5">
        <v>69675</v>
      </c>
      <c r="I6" s="4">
        <f aca="true" t="shared" si="1" ref="I6:I11">J6/H6</f>
        <v>5.8964</v>
      </c>
      <c r="J6" s="5">
        <v>410831.67</v>
      </c>
      <c r="K6" s="5">
        <v>60776</v>
      </c>
      <c r="L6" s="18">
        <f aca="true" t="shared" si="2" ref="L6:L11">M6/K6</f>
        <v>5.754520040805581</v>
      </c>
      <c r="M6" s="5">
        <v>349736.71</v>
      </c>
      <c r="N6" s="3">
        <v>67701</v>
      </c>
      <c r="O6" s="4">
        <f aca="true" t="shared" si="3" ref="O6:O11">P6/N6</f>
        <v>5.913550021417704</v>
      </c>
      <c r="P6" s="5">
        <v>400353.25</v>
      </c>
      <c r="Q6" s="5">
        <f>72007+75417</f>
        <v>147424</v>
      </c>
      <c r="R6" s="4">
        <f aca="true" t="shared" si="4" ref="R6:R11">S6/Q6</f>
        <v>5.72549001519427</v>
      </c>
      <c r="S6" s="5">
        <f>412275.36+431799.28</f>
        <v>844074.64</v>
      </c>
      <c r="T6" s="3">
        <f>83406+12266</f>
        <v>95672</v>
      </c>
      <c r="U6" s="4">
        <f aca="true" t="shared" si="5" ref="U6:U11">V6/T6</f>
        <v>5.9382200643866545</v>
      </c>
      <c r="V6" s="4">
        <f>495283.18+72838.21</f>
        <v>568121.39</v>
      </c>
      <c r="W6" s="5">
        <f>69494</f>
        <v>69494</v>
      </c>
      <c r="X6" s="4">
        <f aca="true" t="shared" si="6" ref="X6:X11">Y6/W6</f>
        <v>6.401459982156733</v>
      </c>
      <c r="Y6" s="5">
        <f>444863.06</f>
        <v>444863.06</v>
      </c>
      <c r="Z6" s="5">
        <f>97981</f>
        <v>97981</v>
      </c>
      <c r="AA6" s="4">
        <f aca="true" t="shared" si="7" ref="AA6:AA11">AB6/Z6</f>
        <v>6.3566499627478805</v>
      </c>
      <c r="AB6" s="5">
        <v>622830.92</v>
      </c>
      <c r="AC6" s="5">
        <f>98016</f>
        <v>98016</v>
      </c>
      <c r="AD6" s="4">
        <f aca="true" t="shared" si="8" ref="AD6:AD11">AE6/AC6</f>
        <v>7.624540483186419</v>
      </c>
      <c r="AE6" s="1">
        <f>449770.2+123260.38+174296.38</f>
        <v>747326.9600000001</v>
      </c>
      <c r="AF6" s="5">
        <f>128564.999+16749</f>
        <v>145313.999</v>
      </c>
      <c r="AG6" s="4">
        <f aca="true" t="shared" si="9" ref="AG6:AG11">AH6/AF6</f>
        <v>6.476610006445421</v>
      </c>
      <c r="AH6" s="5">
        <f>832665.36+108476.74</f>
        <v>941142.1</v>
      </c>
      <c r="AI6" s="5">
        <f>98494+16694</f>
        <v>115188</v>
      </c>
      <c r="AJ6" s="4">
        <f aca="true" t="shared" si="10" ref="AJ6:AJ11">AK6/AI6</f>
        <v>6.236700003472584</v>
      </c>
      <c r="AK6" s="5">
        <f>614277.53+104115.47</f>
        <v>718393</v>
      </c>
      <c r="AL6" s="5">
        <f>100859</f>
        <v>100859</v>
      </c>
      <c r="AM6" s="4">
        <f aca="true" t="shared" si="11" ref="AM6:AM11">AN6/AL6</f>
        <v>6.456929971544433</v>
      </c>
      <c r="AN6" s="5">
        <f>651239.5</f>
        <v>651239.5</v>
      </c>
    </row>
    <row r="7" spans="1:40" s="1" customFormat="1" ht="44.25" customHeight="1">
      <c r="A7" s="7"/>
      <c r="B7" s="37"/>
      <c r="C7" s="35"/>
      <c r="D7" s="8" t="s">
        <v>7</v>
      </c>
      <c r="E7" s="5">
        <f>153537+52882+65646</f>
        <v>272065</v>
      </c>
      <c r="F7" s="4">
        <f t="shared" si="0"/>
        <v>3.3618061492658007</v>
      </c>
      <c r="G7" s="5">
        <f>497715.77+119865.87+297048.15</f>
        <v>914629.79</v>
      </c>
      <c r="H7" s="5">
        <f>154015+28629+67482</f>
        <v>250126</v>
      </c>
      <c r="I7" s="4">
        <f t="shared" si="1"/>
        <v>3.4763029033367183</v>
      </c>
      <c r="J7" s="5">
        <f>499265.29+64892.4+305356.05</f>
        <v>869513.74</v>
      </c>
      <c r="K7" s="5">
        <f>146889+54476+60267</f>
        <v>261632</v>
      </c>
      <c r="L7" s="18">
        <f t="shared" si="2"/>
        <v>3.334272069165851</v>
      </c>
      <c r="M7" s="5">
        <f>476165.17+123478.93+272708.17</f>
        <v>872352.27</v>
      </c>
      <c r="N7" s="3">
        <f>139637+58056+49843</f>
        <v>247536</v>
      </c>
      <c r="O7" s="4">
        <f t="shared" si="3"/>
        <v>3.271402058690453</v>
      </c>
      <c r="P7" s="5">
        <f>452656.61+131593.6+225539.57</f>
        <v>809789.78</v>
      </c>
      <c r="Q7" s="5">
        <f>128558+37589+36819+14727</f>
        <v>217693</v>
      </c>
      <c r="R7" s="4">
        <f t="shared" si="4"/>
        <v>3.2852934177947843</v>
      </c>
      <c r="S7" s="5">
        <f>416742.18+85201.73+166605.97+46635.5</f>
        <v>715185.38</v>
      </c>
      <c r="T7" s="3">
        <f>151590+61705+50959</f>
        <v>264254</v>
      </c>
      <c r="U7" s="4">
        <f t="shared" si="5"/>
        <v>3.2614771772612716</v>
      </c>
      <c r="V7" s="4">
        <f>491404.25+139864.67+230589.47</f>
        <v>861858.39</v>
      </c>
      <c r="W7" s="5">
        <f>109435+28857+33896</f>
        <v>172188</v>
      </c>
      <c r="X7" s="4">
        <f t="shared" si="6"/>
        <v>3.3913579343508258</v>
      </c>
      <c r="Y7" s="5">
        <f>361135.5+66611.57+156204.07</f>
        <v>583951.14</v>
      </c>
      <c r="Z7" s="5">
        <f>122614+29078+36876+15871</f>
        <v>204439</v>
      </c>
      <c r="AA7" s="4">
        <f t="shared" si="7"/>
        <v>3.389122378802479</v>
      </c>
      <c r="AB7" s="5">
        <f>404626.2+67121.72+169936.9+51183.97</f>
        <v>692868.79</v>
      </c>
      <c r="AC7" s="5">
        <f>136294+53398+37822</f>
        <v>227514</v>
      </c>
      <c r="AD7" s="4">
        <f t="shared" si="8"/>
        <v>2.8341984229541914</v>
      </c>
      <c r="AE7" s="4">
        <v>644819.82</v>
      </c>
      <c r="AF7" s="5">
        <f>96771+5996+18969+3204</f>
        <v>124940</v>
      </c>
      <c r="AG7" s="4">
        <f t="shared" si="9"/>
        <v>3.4491230990875623</v>
      </c>
      <c r="AH7" s="5">
        <f>319344.3+13840.77+87415.47+10332.9</f>
        <v>430933.44000000006</v>
      </c>
      <c r="AI7" s="5">
        <f>98091+17034+65703+13147</f>
        <v>193975</v>
      </c>
      <c r="AJ7" s="4">
        <f t="shared" si="10"/>
        <v>3.6509902822528675</v>
      </c>
      <c r="AK7" s="5">
        <f>323700.3+39320.15+302781.32+42399.07</f>
        <v>708200.84</v>
      </c>
      <c r="AL7" s="5">
        <f>137183+35541+73304+19344</f>
        <v>265372</v>
      </c>
      <c r="AM7" s="4">
        <f t="shared" si="11"/>
        <v>3.523122409297138</v>
      </c>
      <c r="AN7" s="5">
        <f>452703.9+82040.47+337809.27+62384.4</f>
        <v>934938.04</v>
      </c>
    </row>
    <row r="8" spans="1:40" s="1" customFormat="1" ht="36.75" customHeight="1">
      <c r="A8" s="7"/>
      <c r="B8" s="37"/>
      <c r="C8" s="35" t="s">
        <v>8</v>
      </c>
      <c r="D8" s="8" t="s">
        <v>6</v>
      </c>
      <c r="E8" s="5">
        <v>154561</v>
      </c>
      <c r="F8" s="4">
        <f t="shared" si="0"/>
        <v>6.461260020315604</v>
      </c>
      <c r="G8" s="5">
        <v>998658.81</v>
      </c>
      <c r="H8" s="5">
        <v>148430</v>
      </c>
      <c r="I8" s="4">
        <f t="shared" si="1"/>
        <v>6.607539985178199</v>
      </c>
      <c r="J8" s="5">
        <v>980757.16</v>
      </c>
      <c r="K8" s="5">
        <v>133338</v>
      </c>
      <c r="L8" s="18">
        <f t="shared" si="2"/>
        <v>6.465659976900809</v>
      </c>
      <c r="M8" s="5">
        <v>862118.17</v>
      </c>
      <c r="N8" s="3">
        <v>137305</v>
      </c>
      <c r="O8" s="4">
        <f t="shared" si="3"/>
        <v>6.624689996722625</v>
      </c>
      <c r="P8" s="5">
        <v>909603.06</v>
      </c>
      <c r="Q8" s="5">
        <f>141230</f>
        <v>141230</v>
      </c>
      <c r="R8" s="4">
        <f t="shared" si="4"/>
        <v>6.436629965304822</v>
      </c>
      <c r="S8" s="5">
        <f>909045.25</f>
        <v>909045.25</v>
      </c>
      <c r="T8" s="3">
        <v>174287</v>
      </c>
      <c r="U8" s="4">
        <f t="shared" si="5"/>
        <v>6.649360021114599</v>
      </c>
      <c r="V8" s="4">
        <f>1158897.01</f>
        <v>1158897.01</v>
      </c>
      <c r="W8" s="5">
        <f>127659</f>
        <v>127659</v>
      </c>
      <c r="X8" s="4">
        <f t="shared" si="6"/>
        <v>7.13321998448993</v>
      </c>
      <c r="Y8" s="5">
        <f>910619.73</f>
        <v>910619.73</v>
      </c>
      <c r="Z8" s="5">
        <f>171496</f>
        <v>171496</v>
      </c>
      <c r="AA8" s="4">
        <f t="shared" si="7"/>
        <v>7.088409992069786</v>
      </c>
      <c r="AB8" s="5">
        <f>1215633.96</f>
        <v>1215633.96</v>
      </c>
      <c r="AC8" s="5">
        <f>162826</f>
        <v>162826</v>
      </c>
      <c r="AD8" s="4">
        <f t="shared" si="8"/>
        <v>7.310480021618169</v>
      </c>
      <c r="AE8" s="4">
        <f>1190336.22</f>
        <v>1190336.22</v>
      </c>
      <c r="AF8" s="5">
        <f>159842+12610+4640</f>
        <v>177092</v>
      </c>
      <c r="AG8" s="4">
        <f t="shared" si="9"/>
        <v>7.239441533214375</v>
      </c>
      <c r="AH8" s="5">
        <f>1152200.28+90897.55+38949.35</f>
        <v>1282047.1800000002</v>
      </c>
      <c r="AI8" s="5">
        <f>166267+7704</f>
        <v>173971</v>
      </c>
      <c r="AJ8" s="4">
        <f t="shared" si="10"/>
        <v>6.968460030694771</v>
      </c>
      <c r="AK8" s="5">
        <f>1158624.94+53685.02</f>
        <v>1212309.96</v>
      </c>
      <c r="AL8" s="5">
        <f>139327+2+13880</f>
        <v>153209</v>
      </c>
      <c r="AM8" s="4">
        <f t="shared" si="11"/>
        <v>7.349102990033223</v>
      </c>
      <c r="AN8" s="5">
        <f>1001578.61+14.38+124355.73</f>
        <v>1125948.72</v>
      </c>
    </row>
    <row r="9" spans="1:40" s="1" customFormat="1" ht="42.75" customHeight="1">
      <c r="A9" s="7"/>
      <c r="B9" s="37"/>
      <c r="C9" s="35"/>
      <c r="D9" s="8" t="s">
        <v>7</v>
      </c>
      <c r="E9" s="5">
        <f>6602</f>
        <v>6602</v>
      </c>
      <c r="F9" s="4">
        <f t="shared" si="0"/>
        <v>3.2416661617691607</v>
      </c>
      <c r="G9" s="2">
        <v>21401.48</v>
      </c>
      <c r="H9" s="5">
        <v>4334</v>
      </c>
      <c r="I9" s="4">
        <f t="shared" si="1"/>
        <v>3.2416658975542223</v>
      </c>
      <c r="J9" s="5">
        <v>14049.38</v>
      </c>
      <c r="K9" s="5">
        <v>1759</v>
      </c>
      <c r="L9" s="18">
        <f t="shared" si="2"/>
        <v>3.241665719158613</v>
      </c>
      <c r="M9" s="5">
        <v>5702.09</v>
      </c>
      <c r="N9" s="3">
        <f>699+3225</f>
        <v>3924</v>
      </c>
      <c r="O9" s="4">
        <f t="shared" si="3"/>
        <v>4.296391437308869</v>
      </c>
      <c r="P9" s="5">
        <f>2265.92+14593.12</f>
        <v>16859.04</v>
      </c>
      <c r="Q9" s="5">
        <f>858+3937</f>
        <v>4795</v>
      </c>
      <c r="R9" s="4">
        <f t="shared" si="4"/>
        <v>4.295363920750781</v>
      </c>
      <c r="S9" s="5">
        <f>2781.35+17814.92</f>
        <v>20596.269999999997</v>
      </c>
      <c r="T9" s="3">
        <f>515+1369</f>
        <v>1884</v>
      </c>
      <c r="U9" s="4">
        <f t="shared" si="5"/>
        <v>4.174193205944799</v>
      </c>
      <c r="V9" s="4">
        <f>1669.46+6194.72</f>
        <v>7864.18</v>
      </c>
      <c r="W9" s="5">
        <f>1282+2394</f>
        <v>3676</v>
      </c>
      <c r="X9" s="4">
        <f t="shared" si="6"/>
        <v>4.1520538628944506</v>
      </c>
      <c r="Y9" s="5">
        <f>4230.6+11032.35</f>
        <v>15262.95</v>
      </c>
      <c r="Z9" s="5">
        <f>249+2070</f>
        <v>2319</v>
      </c>
      <c r="AA9" s="4">
        <f t="shared" si="7"/>
        <v>4.467852522639069</v>
      </c>
      <c r="AB9" s="5">
        <f>821.7+9539.25</f>
        <v>10360.95</v>
      </c>
      <c r="AC9" s="5">
        <f>1365+3593</f>
        <v>4958</v>
      </c>
      <c r="AD9" s="4">
        <f t="shared" si="8"/>
        <v>4.248132311415894</v>
      </c>
      <c r="AE9" s="4">
        <f>4504.5+16557.74</f>
        <v>21062.24</v>
      </c>
      <c r="AF9" s="5">
        <f>311+1641</f>
        <v>1952</v>
      </c>
      <c r="AG9" s="4">
        <f t="shared" si="9"/>
        <v>4.399882172131147</v>
      </c>
      <c r="AH9" s="5">
        <f>1026.3+7562.27</f>
        <v>8588.57</v>
      </c>
      <c r="AI9" s="5">
        <f>384+2248+8691</f>
        <v>11323</v>
      </c>
      <c r="AJ9" s="4">
        <f t="shared" si="10"/>
        <v>8.548054402543496</v>
      </c>
      <c r="AK9" s="5">
        <f>1267.2+10359.53+85162.89</f>
        <v>96789.62</v>
      </c>
      <c r="AL9" s="5">
        <f>932+3701</f>
        <v>4633</v>
      </c>
      <c r="AM9" s="4">
        <f t="shared" si="11"/>
        <v>4.345141377077487</v>
      </c>
      <c r="AN9" s="5">
        <f>3075.6+17055.44</f>
        <v>20131.039999999997</v>
      </c>
    </row>
    <row r="10" spans="1:40" s="1" customFormat="1" ht="42.75" customHeight="1">
      <c r="A10" s="7"/>
      <c r="B10" s="38"/>
      <c r="C10" s="23" t="s">
        <v>24</v>
      </c>
      <c r="D10" s="20" t="s">
        <v>6</v>
      </c>
      <c r="E10" s="5">
        <v>22</v>
      </c>
      <c r="F10" s="4">
        <f t="shared" si="0"/>
        <v>5.494090909090909</v>
      </c>
      <c r="G10" s="2">
        <v>120.87</v>
      </c>
      <c r="H10" s="5">
        <v>19</v>
      </c>
      <c r="I10" s="4">
        <f t="shared" si="1"/>
        <v>5.640526315789474</v>
      </c>
      <c r="J10" s="5">
        <v>107.17</v>
      </c>
      <c r="K10" s="5">
        <v>22</v>
      </c>
      <c r="L10" s="18">
        <f t="shared" si="2"/>
        <v>5.498636363636364</v>
      </c>
      <c r="M10" s="5">
        <v>120.97</v>
      </c>
      <c r="N10" s="3">
        <v>21</v>
      </c>
      <c r="O10" s="4">
        <f t="shared" si="3"/>
        <v>5.657619047619048</v>
      </c>
      <c r="P10" s="5">
        <v>118.81</v>
      </c>
      <c r="Q10" s="5">
        <f>22</f>
        <v>22</v>
      </c>
      <c r="R10" s="4">
        <f t="shared" si="4"/>
        <v>5.469545454545455</v>
      </c>
      <c r="S10" s="5">
        <f>120.33</f>
        <v>120.33</v>
      </c>
      <c r="T10" s="3">
        <v>21</v>
      </c>
      <c r="U10" s="4">
        <f t="shared" si="5"/>
        <v>5.682380952380952</v>
      </c>
      <c r="V10" s="4">
        <f>119.33</f>
        <v>119.33</v>
      </c>
      <c r="W10" s="5">
        <f>22</f>
        <v>22</v>
      </c>
      <c r="X10" s="4">
        <f t="shared" si="6"/>
        <v>6.138181818181818</v>
      </c>
      <c r="Y10" s="5">
        <v>135.04</v>
      </c>
      <c r="Z10" s="5">
        <v>22</v>
      </c>
      <c r="AA10" s="4">
        <f t="shared" si="7"/>
        <v>6.093181818181819</v>
      </c>
      <c r="AB10" s="5">
        <v>134.05</v>
      </c>
      <c r="AC10" s="5">
        <v>21</v>
      </c>
      <c r="AD10" s="4">
        <f t="shared" si="8"/>
        <v>6.3152380952380955</v>
      </c>
      <c r="AE10" s="4">
        <v>132.62</v>
      </c>
      <c r="AF10" s="5">
        <v>22</v>
      </c>
      <c r="AG10" s="4">
        <f t="shared" si="9"/>
        <v>6.213181818181818</v>
      </c>
      <c r="AH10" s="5">
        <v>136.69</v>
      </c>
      <c r="AI10" s="5">
        <v>21</v>
      </c>
      <c r="AJ10" s="4">
        <f t="shared" si="10"/>
        <v>5.973333333333334</v>
      </c>
      <c r="AK10" s="5">
        <v>125.44</v>
      </c>
      <c r="AL10" s="5">
        <f>22</f>
        <v>22</v>
      </c>
      <c r="AM10" s="4">
        <f t="shared" si="11"/>
        <v>6.193636363636363</v>
      </c>
      <c r="AN10" s="5">
        <f>136.26</f>
        <v>136.26</v>
      </c>
    </row>
    <row r="11" spans="1:40" s="1" customFormat="1" ht="30" customHeight="1">
      <c r="A11" s="7"/>
      <c r="B11" s="36" t="s">
        <v>25</v>
      </c>
      <c r="C11" s="39" t="s">
        <v>9</v>
      </c>
      <c r="D11" s="21" t="s">
        <v>6</v>
      </c>
      <c r="E11" s="5">
        <f>1560153+181396+58760+61200+168759+311300</f>
        <v>2341568</v>
      </c>
      <c r="F11" s="4">
        <f t="shared" si="0"/>
        <v>5.59837918864624</v>
      </c>
      <c r="G11" s="5">
        <f>8837364.93+981161.3+327838.91+336281.15+1686433.76+939905.51</f>
        <v>13108985.56</v>
      </c>
      <c r="H11" s="5">
        <f>1463043+160627+54640+49200+276960+154760</f>
        <v>2159230</v>
      </c>
      <c r="I11" s="4">
        <f t="shared" si="1"/>
        <v>5.7335595976343425</v>
      </c>
      <c r="J11" s="5">
        <f>8501306.86+883892.72+310418.6+277540.64+1527925.61+878989.46</f>
        <v>12380073.89</v>
      </c>
      <c r="K11" s="22">
        <f>1417798+166948+50800+62400+338410+200060</f>
        <v>2236416</v>
      </c>
      <c r="L11" s="4">
        <f t="shared" si="2"/>
        <v>5.597532404525813</v>
      </c>
      <c r="M11" s="5">
        <f>8037244.48+902096.99+283522.1+343149.46+1836001.75+1116396.25</f>
        <v>12518411.030000001</v>
      </c>
      <c r="N11" s="5">
        <f>1327284+123449+188543+63231</f>
        <v>1702507</v>
      </c>
      <c r="O11" s="4">
        <f t="shared" si="3"/>
        <v>5.775606514393186</v>
      </c>
      <c r="P11" s="5">
        <f>7735214.73+698501.61+1036363.09+362931.09</f>
        <v>9833010.52</v>
      </c>
      <c r="Q11" s="5">
        <f>1031163+98486+140940+17626</f>
        <v>1288215</v>
      </c>
      <c r="R11" s="4">
        <f t="shared" si="4"/>
        <v>5.593323614458766</v>
      </c>
      <c r="S11" s="5">
        <f>5815544.83+538734.18+750747.11+100377.26</f>
        <v>7205403.38</v>
      </c>
      <c r="T11" s="5">
        <f>1291347+101666+71242+17135</f>
        <v>1481390</v>
      </c>
      <c r="U11" s="4">
        <f t="shared" si="5"/>
        <v>5.798041744577728</v>
      </c>
      <c r="V11" s="5">
        <f>7557636.77+577756.7+357078.51+96689.08</f>
        <v>8589161.06</v>
      </c>
      <c r="W11" s="5">
        <f>1258710+99944+133237+10705</f>
        <v>1502596</v>
      </c>
      <c r="X11" s="4">
        <f t="shared" si="6"/>
        <v>6.1403005664862675</v>
      </c>
      <c r="Y11" s="5">
        <f>7815614.91+588553.63+757997.67+64224.86</f>
        <v>9226391.07</v>
      </c>
      <c r="Z11" s="5">
        <f>1251342+79468+112698+16779</f>
        <v>1460287</v>
      </c>
      <c r="AA11" s="4">
        <f t="shared" si="7"/>
        <v>6.11300569682535</v>
      </c>
      <c r="AB11" s="5">
        <f>7713792.72+464412.9+644305.63+104231.5</f>
        <v>8926742.75</v>
      </c>
      <c r="AC11" s="5">
        <f>1040319+77995+159469+19422</f>
        <v>1297205</v>
      </c>
      <c r="AD11" s="4">
        <f t="shared" si="8"/>
        <v>6.295369583065128</v>
      </c>
      <c r="AE11" s="5">
        <f>6643982.76+473125+927862.93+121414.21</f>
        <v>8166384.899999999</v>
      </c>
      <c r="AF11" s="5">
        <f>1011227+97865+167735+61359</f>
        <v>1338186</v>
      </c>
      <c r="AG11" s="4">
        <f t="shared" si="9"/>
        <v>6.1892172538047765</v>
      </c>
      <c r="AH11" s="5">
        <f>6357927.92+584438.42+968444.52+371513.02</f>
        <v>8282323.879999999</v>
      </c>
      <c r="AI11" s="5">
        <f>1453905+143921+296349+148786</f>
        <v>2042961</v>
      </c>
      <c r="AJ11" s="4">
        <f t="shared" si="10"/>
        <v>5.953533802162645</v>
      </c>
      <c r="AK11" s="5">
        <f>8792388.73+824951.43+1664787.01+880710.2</f>
        <v>12162837.37</v>
      </c>
      <c r="AL11" s="5">
        <f>1435582+174903+229493+115833+8430</f>
        <v>1964241</v>
      </c>
      <c r="AM11" s="4">
        <f t="shared" si="11"/>
        <v>6.142817699050168</v>
      </c>
      <c r="AN11" s="5">
        <f>8929811.73+1036230.75+1338614.4+710563.17+50754.33</f>
        <v>12065974.38</v>
      </c>
    </row>
    <row r="12" spans="1:40" s="1" customFormat="1" ht="39.75" customHeight="1">
      <c r="A12" s="7"/>
      <c r="B12" s="37"/>
      <c r="C12" s="39"/>
      <c r="D12" s="11" t="s">
        <v>7</v>
      </c>
      <c r="E12" s="5" t="s">
        <v>10</v>
      </c>
      <c r="F12" s="4" t="s">
        <v>10</v>
      </c>
      <c r="G12" s="5" t="s">
        <v>10</v>
      </c>
      <c r="H12" s="5" t="s">
        <v>10</v>
      </c>
      <c r="I12" s="4" t="s">
        <v>10</v>
      </c>
      <c r="J12" s="5" t="s">
        <v>10</v>
      </c>
      <c r="K12" s="22" t="s">
        <v>10</v>
      </c>
      <c r="L12" s="4" t="s">
        <v>10</v>
      </c>
      <c r="M12" s="5" t="s">
        <v>10</v>
      </c>
      <c r="N12" s="5" t="s">
        <v>10</v>
      </c>
      <c r="O12" s="4" t="s">
        <v>10</v>
      </c>
      <c r="P12" s="5" t="s">
        <v>10</v>
      </c>
      <c r="Q12" s="5" t="s">
        <v>10</v>
      </c>
      <c r="R12" s="4" t="s">
        <v>10</v>
      </c>
      <c r="S12" s="5" t="s">
        <v>10</v>
      </c>
      <c r="T12" s="5" t="s">
        <v>10</v>
      </c>
      <c r="U12" s="4" t="s">
        <v>10</v>
      </c>
      <c r="V12" s="5" t="s">
        <v>10</v>
      </c>
      <c r="W12" s="5" t="s">
        <v>10</v>
      </c>
      <c r="X12" s="5" t="s">
        <v>10</v>
      </c>
      <c r="Y12" s="5" t="s">
        <v>10</v>
      </c>
      <c r="Z12" s="5" t="s">
        <v>10</v>
      </c>
      <c r="AA12" s="4" t="s">
        <v>10</v>
      </c>
      <c r="AB12" s="5" t="s">
        <v>10</v>
      </c>
      <c r="AC12" s="5" t="s">
        <v>10</v>
      </c>
      <c r="AD12" s="4" t="s">
        <v>10</v>
      </c>
      <c r="AE12" s="5" t="s">
        <v>10</v>
      </c>
      <c r="AF12" s="5" t="s">
        <v>10</v>
      </c>
      <c r="AG12" s="4" t="s">
        <v>10</v>
      </c>
      <c r="AH12" s="5" t="s">
        <v>10</v>
      </c>
      <c r="AI12" s="5" t="s">
        <v>10</v>
      </c>
      <c r="AJ12" s="4" t="s">
        <v>10</v>
      </c>
      <c r="AK12" s="5" t="s">
        <v>10</v>
      </c>
      <c r="AL12" s="5" t="s">
        <v>10</v>
      </c>
      <c r="AM12" s="4" t="s">
        <v>10</v>
      </c>
      <c r="AN12" s="5" t="s">
        <v>10</v>
      </c>
    </row>
    <row r="13" spans="1:40" s="1" customFormat="1" ht="30" customHeight="1">
      <c r="A13" s="7"/>
      <c r="B13" s="37"/>
      <c r="C13" s="39" t="s">
        <v>8</v>
      </c>
      <c r="D13" s="21" t="s">
        <v>6</v>
      </c>
      <c r="E13" s="5">
        <f>491534</f>
        <v>491534</v>
      </c>
      <c r="F13" s="4">
        <f>G13/E13</f>
        <v>6.37556203640033</v>
      </c>
      <c r="G13" s="5">
        <f>3133805.51</f>
        <v>3133805.51</v>
      </c>
      <c r="H13" s="5">
        <f>412712</f>
        <v>412712</v>
      </c>
      <c r="I13" s="4">
        <f>J13/H13</f>
        <v>6.521841938203881</v>
      </c>
      <c r="J13" s="5">
        <f>2691642.43</f>
        <v>2691642.43</v>
      </c>
      <c r="K13" s="22">
        <f>348193</f>
        <v>348193</v>
      </c>
      <c r="L13" s="4">
        <f>M13/K13</f>
        <v>6.379962147429731</v>
      </c>
      <c r="M13" s="5">
        <f>2221458.16</f>
        <v>2221458.16</v>
      </c>
      <c r="N13" s="5">
        <f>340074</f>
        <v>340074</v>
      </c>
      <c r="O13" s="4">
        <f>P13/N13</f>
        <v>6.538991837070755</v>
      </c>
      <c r="P13" s="5">
        <f>2223741.11</f>
        <v>2223741.11</v>
      </c>
      <c r="Q13" s="5">
        <v>258181</v>
      </c>
      <c r="R13" s="4">
        <f>S13/Q13</f>
        <v>6.350932059291737</v>
      </c>
      <c r="S13" s="5">
        <v>1639689.99</v>
      </c>
      <c r="T13" s="5">
        <f>328628</f>
        <v>328628</v>
      </c>
      <c r="U13" s="4">
        <f>V13/T13</f>
        <v>6.5636619825456135</v>
      </c>
      <c r="V13" s="5">
        <f>2157003.11</f>
        <v>2157003.11</v>
      </c>
      <c r="W13" s="5">
        <f>314479</f>
        <v>314479</v>
      </c>
      <c r="X13" s="4">
        <f>Y13/W13</f>
        <v>6.94098601178457</v>
      </c>
      <c r="Y13" s="5">
        <f>2182794.34</f>
        <v>2182794.34</v>
      </c>
      <c r="Z13" s="5">
        <f>343379</f>
        <v>343379</v>
      </c>
      <c r="AA13" s="4">
        <f>AB13/Z13</f>
        <v>6.896175887284895</v>
      </c>
      <c r="AB13" s="5">
        <f>2368001.98</f>
        <v>2368001.98</v>
      </c>
      <c r="AC13" s="5">
        <f>280738</f>
        <v>280738</v>
      </c>
      <c r="AD13" s="4">
        <f>AE13/AC13</f>
        <v>7.118245980237801</v>
      </c>
      <c r="AE13" s="5">
        <f>1998362.14</f>
        <v>1998362.14</v>
      </c>
      <c r="AF13" s="5">
        <v>242904</v>
      </c>
      <c r="AG13" s="4">
        <f>AH13/AF13</f>
        <v>7.019100055989197</v>
      </c>
      <c r="AH13" s="5">
        <v>1704967.48</v>
      </c>
      <c r="AI13" s="5">
        <f>346623</f>
        <v>346623</v>
      </c>
      <c r="AJ13" s="4">
        <f>AK13/AI13</f>
        <v>6.779190099906815</v>
      </c>
      <c r="AK13" s="5">
        <v>2349823.21</v>
      </c>
      <c r="AL13" s="5">
        <v>413616</v>
      </c>
      <c r="AM13" s="4">
        <f>AN13/AL13</f>
        <v>6.952102529882789</v>
      </c>
      <c r="AN13" s="5">
        <f>2875500.84</f>
        <v>2875500.84</v>
      </c>
    </row>
    <row r="14" spans="1:40" s="1" customFormat="1" ht="39.75" customHeight="1">
      <c r="A14" s="7"/>
      <c r="B14" s="37"/>
      <c r="C14" s="39"/>
      <c r="D14" s="11" t="s">
        <v>7</v>
      </c>
      <c r="E14" s="5" t="s">
        <v>10</v>
      </c>
      <c r="F14" s="4" t="s">
        <v>10</v>
      </c>
      <c r="G14" s="5" t="s">
        <v>10</v>
      </c>
      <c r="H14" s="5" t="s">
        <v>10</v>
      </c>
      <c r="I14" s="4" t="s">
        <v>10</v>
      </c>
      <c r="J14" s="5" t="s">
        <v>10</v>
      </c>
      <c r="K14" s="22" t="s">
        <v>10</v>
      </c>
      <c r="L14" s="4" t="s">
        <v>10</v>
      </c>
      <c r="M14" s="5" t="s">
        <v>10</v>
      </c>
      <c r="N14" s="5" t="s">
        <v>10</v>
      </c>
      <c r="O14" s="4" t="s">
        <v>10</v>
      </c>
      <c r="P14" s="5" t="s">
        <v>10</v>
      </c>
      <c r="Q14" s="5" t="s">
        <v>10</v>
      </c>
      <c r="R14" s="4" t="s">
        <v>10</v>
      </c>
      <c r="S14" s="5" t="s">
        <v>10</v>
      </c>
      <c r="T14" s="5" t="s">
        <v>10</v>
      </c>
      <c r="U14" s="4" t="s">
        <v>10</v>
      </c>
      <c r="V14" s="5" t="s">
        <v>10</v>
      </c>
      <c r="W14" s="5" t="s">
        <v>10</v>
      </c>
      <c r="X14" s="5" t="s">
        <v>10</v>
      </c>
      <c r="Y14" s="5" t="s">
        <v>10</v>
      </c>
      <c r="Z14" s="5" t="s">
        <v>10</v>
      </c>
      <c r="AA14" s="4" t="s">
        <v>10</v>
      </c>
      <c r="AB14" s="5" t="s">
        <v>10</v>
      </c>
      <c r="AC14" s="5" t="s">
        <v>10</v>
      </c>
      <c r="AD14" s="4" t="s">
        <v>10</v>
      </c>
      <c r="AE14" s="5" t="s">
        <v>10</v>
      </c>
      <c r="AF14" s="5" t="s">
        <v>10</v>
      </c>
      <c r="AG14" s="4" t="s">
        <v>10</v>
      </c>
      <c r="AH14" s="5" t="s">
        <v>10</v>
      </c>
      <c r="AI14" s="5" t="s">
        <v>10</v>
      </c>
      <c r="AJ14" s="4" t="s">
        <v>10</v>
      </c>
      <c r="AK14" s="5" t="s">
        <v>10</v>
      </c>
      <c r="AL14" s="5" t="s">
        <v>10</v>
      </c>
      <c r="AM14" s="4" t="s">
        <v>10</v>
      </c>
      <c r="AN14" s="5" t="s">
        <v>10</v>
      </c>
    </row>
    <row r="15" spans="1:40" s="1" customFormat="1" ht="42.75" customHeight="1">
      <c r="A15" s="7"/>
      <c r="B15" s="38"/>
      <c r="C15" s="23" t="s">
        <v>24</v>
      </c>
      <c r="D15" s="27" t="s">
        <v>6</v>
      </c>
      <c r="E15" s="5">
        <f>114707</f>
        <v>114707</v>
      </c>
      <c r="F15" s="4">
        <f>G15/E15</f>
        <v>5.408582039457051</v>
      </c>
      <c r="G15" s="2">
        <f>620402.22</f>
        <v>620402.22</v>
      </c>
      <c r="H15" s="5">
        <v>104709</v>
      </c>
      <c r="I15" s="4">
        <f>J15/H15</f>
        <v>5.554862046242444</v>
      </c>
      <c r="J15" s="5">
        <f>581644.05</f>
        <v>581644.05</v>
      </c>
      <c r="K15" s="5" t="s">
        <v>10</v>
      </c>
      <c r="L15" s="5" t="s">
        <v>10</v>
      </c>
      <c r="M15" s="5" t="s">
        <v>10</v>
      </c>
      <c r="N15" s="5" t="s">
        <v>10</v>
      </c>
      <c r="O15" s="5" t="s">
        <v>10</v>
      </c>
      <c r="P15" s="5" t="s">
        <v>10</v>
      </c>
      <c r="Q15" s="5" t="s">
        <v>10</v>
      </c>
      <c r="R15" s="5" t="s">
        <v>10</v>
      </c>
      <c r="S15" s="5" t="s">
        <v>10</v>
      </c>
      <c r="T15" s="3" t="s">
        <v>10</v>
      </c>
      <c r="U15" s="4" t="s">
        <v>10</v>
      </c>
      <c r="V15" s="4" t="s">
        <v>10</v>
      </c>
      <c r="W15" s="5" t="s">
        <v>10</v>
      </c>
      <c r="X15" s="4" t="s">
        <v>10</v>
      </c>
      <c r="Y15" s="5" t="s">
        <v>10</v>
      </c>
      <c r="Z15" s="5" t="s">
        <v>10</v>
      </c>
      <c r="AA15" s="4" t="s">
        <v>10</v>
      </c>
      <c r="AB15" s="5" t="s">
        <v>10</v>
      </c>
      <c r="AC15" s="5" t="s">
        <v>10</v>
      </c>
      <c r="AD15" s="4" t="s">
        <v>10</v>
      </c>
      <c r="AE15" s="4" t="s">
        <v>10</v>
      </c>
      <c r="AF15" s="5" t="s">
        <v>10</v>
      </c>
      <c r="AG15" s="4" t="s">
        <v>10</v>
      </c>
      <c r="AH15" s="5" t="s">
        <v>10</v>
      </c>
      <c r="AI15" s="5" t="s">
        <v>10</v>
      </c>
      <c r="AJ15" s="4" t="s">
        <v>10</v>
      </c>
      <c r="AK15" s="5" t="s">
        <v>10</v>
      </c>
      <c r="AL15" s="5" t="s">
        <v>10</v>
      </c>
      <c r="AM15" s="4" t="s">
        <v>10</v>
      </c>
      <c r="AN15" s="5" t="s">
        <v>10</v>
      </c>
    </row>
    <row r="16" ht="12.75">
      <c r="AE16" s="28"/>
    </row>
  </sheetData>
  <sheetProtection/>
  <mergeCells count="21">
    <mergeCell ref="B11:B15"/>
    <mergeCell ref="C11:C12"/>
    <mergeCell ref="C13:C14"/>
    <mergeCell ref="C8:C9"/>
    <mergeCell ref="K4:M4"/>
    <mergeCell ref="T4:V4"/>
    <mergeCell ref="Q4:S4"/>
    <mergeCell ref="C6:C7"/>
    <mergeCell ref="B6:B10"/>
    <mergeCell ref="C4:C5"/>
    <mergeCell ref="D4:D5"/>
    <mergeCell ref="E4:G4"/>
    <mergeCell ref="AC4:AE4"/>
    <mergeCell ref="AL4:AN4"/>
    <mergeCell ref="N4:P4"/>
    <mergeCell ref="H4:J4"/>
    <mergeCell ref="W4:Y4"/>
    <mergeCell ref="Z4:AB4"/>
    <mergeCell ref="B4:B5"/>
    <mergeCell ref="AF4:AH4"/>
    <mergeCell ref="AI4:A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 5</dc:creator>
  <cp:keywords/>
  <dc:description/>
  <cp:lastModifiedBy>Abon11</cp:lastModifiedBy>
  <dcterms:created xsi:type="dcterms:W3CDTF">2011-05-27T10:16:11Z</dcterms:created>
  <dcterms:modified xsi:type="dcterms:W3CDTF">2020-01-23T11:33:46Z</dcterms:modified>
  <cp:category/>
  <cp:version/>
  <cp:contentType/>
  <cp:contentStatus/>
</cp:coreProperties>
</file>